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ample Submission forms and guidelines\Fresh cell\"/>
    </mc:Choice>
  </mc:AlternateContent>
  <bookViews>
    <workbookView xWindow="0" yWindow="0" windowWidth="28800" windowHeight="10800"/>
  </bookViews>
  <sheets>
    <sheet name="Submission Form Entry" sheetId="1" r:id="rId1"/>
    <sheet name="Antibody List" sheetId="6" r:id="rId2"/>
    <sheet name="Sheet1" sheetId="7" state="hidden" r:id="rId3"/>
    <sheet name="Lists_New" sheetId="5" state="hidden" r:id="rId4"/>
    <sheet name="Sheet2" sheetId="4" state="hidden" r:id="rId5"/>
    <sheet name="LIMS upload" sheetId="3" state="hidden" r:id="rId6"/>
    <sheet name="Lists" sheetId="2" state="hidden" r:id="rId7"/>
    <sheet name="Sheet4" sheetId="9" state="hidden" r:id="rId8"/>
    <sheet name="Sheet3" sheetId="8" state="hidden" r:id="rId9"/>
  </sheets>
  <definedNames>
    <definedName name="apple">Lists_New!$B$2:$B$3</definedName>
    <definedName name="banana">Lists_New!$C$2:$C$6</definedName>
    <definedName name="ChemOptions3pr">Lists!$H$2:$H$10</definedName>
    <definedName name="ChemOptions5pr">Table4[5pr options]</definedName>
    <definedName name="CiteSeq3pr">Lists_New!$F$1:$F$3</definedName>
    <definedName name="CiteSeq5pr">Lists_New!$F$4:$F$5</definedName>
    <definedName name="GEM3pr2024">Lists!$A$68:$A$70</definedName>
    <definedName name="GEM5pr2024">Lists!$A$75:$A$76</definedName>
    <definedName name="HTCiteseqOptions">Lists_New!$G$2:$G$5</definedName>
    <definedName name="New_Kits">Lists_New!$A$9:$A$13</definedName>
    <definedName name="NextGEM">Lists!$A$24:$A$31</definedName>
    <definedName name="Nucseq">Lists!$A$40:$A$43</definedName>
    <definedName name="NucseqNextGEM">Lists!$A$34:$A$37</definedName>
    <definedName name="Old_Kits">Lists_New!$A$7:$A$8</definedName>
    <definedName name="Options3pr2024">Lists!$J$2:$J$7</definedName>
    <definedName name="Options5pr2024">Table5[Options5pr2024]</definedName>
    <definedName name="Original_GEM">Lists!$A$14:$A$21</definedName>
    <definedName name="Sample_Source">Lists!$A$7:$A$11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I33" i="1"/>
  <c r="J33" i="1" s="1"/>
  <c r="K18" i="1"/>
  <c r="L33" i="1" l="1"/>
  <c r="C45" i="2"/>
  <c r="B45" i="2"/>
  <c r="A45" i="2"/>
  <c r="F48" i="1" l="1"/>
  <c r="I45" i="1"/>
  <c r="F47" i="1"/>
  <c r="F49" i="1"/>
  <c r="F45" i="1"/>
  <c r="F50" i="1"/>
  <c r="I57" i="1"/>
  <c r="F54" i="1"/>
  <c r="J53" i="1"/>
  <c r="F57" i="1"/>
  <c r="I53" i="1"/>
  <c r="I56" i="1"/>
  <c r="G53" i="1"/>
  <c r="F59" i="1"/>
  <c r="I54" i="1"/>
  <c r="F58" i="1"/>
  <c r="F56" i="1"/>
  <c r="F53" i="1"/>
  <c r="I55" i="1"/>
  <c r="I52" i="1"/>
  <c r="I59" i="1"/>
  <c r="F55" i="1"/>
  <c r="A33" i="1" l="1"/>
  <c r="F5" i="3"/>
  <c r="A10" i="1"/>
  <c r="D18" i="1"/>
  <c r="I18" i="1"/>
  <c r="H18" i="1"/>
  <c r="E18" i="1"/>
  <c r="F18" i="1"/>
  <c r="G18" i="1"/>
  <c r="A38" i="1"/>
  <c r="A35" i="1" l="1"/>
  <c r="A42" i="1" l="1"/>
  <c r="G42" i="1"/>
  <c r="H42" i="1"/>
  <c r="I42" i="1" s="1"/>
  <c r="A41" i="1"/>
  <c r="G41" i="1"/>
  <c r="H41" i="1"/>
  <c r="I41" i="1" s="1"/>
  <c r="A43" i="1"/>
  <c r="J42" i="1" l="1"/>
  <c r="L42" i="1"/>
  <c r="J41" i="1"/>
  <c r="L41" i="1"/>
  <c r="A83" i="1"/>
  <c r="A34" i="1"/>
  <c r="A36" i="1"/>
  <c r="A37" i="1"/>
  <c r="A39" i="1"/>
  <c r="A40" i="1"/>
  <c r="A59" i="1" l="1"/>
  <c r="A60" i="1"/>
  <c r="A61" i="1"/>
  <c r="A62" i="1"/>
  <c r="A56" i="1"/>
  <c r="A57" i="1"/>
  <c r="A58" i="1"/>
  <c r="A67" i="1"/>
  <c r="A55" i="1"/>
  <c r="B54" i="1"/>
  <c r="E54" i="1"/>
  <c r="D54" i="1"/>
  <c r="C54" i="1"/>
  <c r="D66" i="1"/>
  <c r="A69" i="1"/>
  <c r="A72" i="1"/>
  <c r="A70" i="1"/>
  <c r="C66" i="1"/>
  <c r="A68" i="1"/>
  <c r="A54" i="1"/>
  <c r="A53" i="1"/>
  <c r="B66" i="1"/>
  <c r="A74" i="1"/>
  <c r="A66" i="1"/>
  <c r="A65" i="1"/>
  <c r="A71" i="1"/>
  <c r="A73" i="1"/>
  <c r="E62" i="1" l="1"/>
  <c r="E61" i="1"/>
  <c r="E60" i="1"/>
  <c r="E59" i="1"/>
  <c r="E58" i="1"/>
  <c r="E57" i="1"/>
  <c r="E56" i="1"/>
  <c r="E55" i="1"/>
  <c r="D62" i="1"/>
  <c r="D61" i="1"/>
  <c r="D60" i="1"/>
  <c r="D59" i="1"/>
  <c r="D58" i="1"/>
  <c r="D57" i="1"/>
  <c r="D56" i="1"/>
  <c r="D55" i="1"/>
  <c r="J30" i="2" l="1"/>
  <c r="J29" i="2"/>
  <c r="F61" i="1" l="1"/>
  <c r="J60" i="1"/>
  <c r="F66" i="1"/>
  <c r="I63" i="1"/>
  <c r="F64" i="1"/>
  <c r="I62" i="1"/>
  <c r="F63" i="1"/>
  <c r="F60" i="1"/>
  <c r="I64" i="1"/>
  <c r="F65" i="1"/>
  <c r="I61" i="1"/>
  <c r="F62" i="1"/>
  <c r="G60" i="1"/>
  <c r="I60" i="1"/>
  <c r="H34" i="1"/>
  <c r="H35" i="1"/>
  <c r="I35" i="1" s="1"/>
  <c r="L35" i="1" s="1"/>
  <c r="H36" i="1"/>
  <c r="I36" i="1" s="1"/>
  <c r="H37" i="1"/>
  <c r="I37" i="1" s="1"/>
  <c r="H38" i="1"/>
  <c r="I38" i="1" s="1"/>
  <c r="H39" i="1"/>
  <c r="I39" i="1" s="1"/>
  <c r="H40" i="1"/>
  <c r="I40" i="1" s="1"/>
  <c r="H43" i="1"/>
  <c r="I43" i="1" s="1"/>
  <c r="B4" i="4"/>
  <c r="A1" i="4"/>
  <c r="L39" i="1" l="1"/>
  <c r="J39" i="1"/>
  <c r="L40" i="1"/>
  <c r="J40" i="1"/>
  <c r="L38" i="1"/>
  <c r="J38" i="1"/>
  <c r="L37" i="1"/>
  <c r="J37" i="1"/>
  <c r="J43" i="1"/>
  <c r="L43" i="1"/>
  <c r="L36" i="1"/>
  <c r="J36" i="1"/>
  <c r="J35" i="1"/>
  <c r="I34" i="1"/>
  <c r="L34" i="1" s="1"/>
  <c r="B5" i="4"/>
  <c r="C4" i="4"/>
  <c r="D4" i="4"/>
  <c r="A4" i="4"/>
  <c r="O5" i="3"/>
  <c r="N5" i="3"/>
  <c r="M5" i="3"/>
  <c r="L5" i="3"/>
  <c r="K5" i="3"/>
  <c r="J5" i="3"/>
  <c r="J34" i="1" l="1"/>
  <c r="B6" i="4"/>
  <c r="A5" i="4"/>
  <c r="C5" i="4"/>
  <c r="D5" i="4"/>
  <c r="G33" i="1"/>
  <c r="G43" i="1"/>
  <c r="G40" i="1"/>
  <c r="G39" i="1"/>
  <c r="G38" i="1"/>
  <c r="G37" i="1"/>
  <c r="G36" i="1"/>
  <c r="G35" i="1"/>
  <c r="G34" i="1"/>
  <c r="B7" i="4" l="1"/>
  <c r="A6" i="4"/>
  <c r="D6" i="4"/>
  <c r="C6" i="4"/>
  <c r="B8" i="4" l="1"/>
  <c r="A7" i="4"/>
  <c r="C7" i="4"/>
  <c r="D7" i="4"/>
  <c r="F7" i="4"/>
  <c r="I5" i="3"/>
  <c r="B9" i="4" l="1"/>
  <c r="A8" i="4"/>
  <c r="E7" i="4"/>
  <c r="F6" i="4"/>
  <c r="E6" i="4"/>
  <c r="F5" i="4"/>
  <c r="E5" i="4"/>
  <c r="E4" i="4"/>
  <c r="P5" i="3"/>
  <c r="F8" i="4"/>
  <c r="C8" i="4"/>
  <c r="E8" i="4"/>
  <c r="D8" i="4"/>
  <c r="G5" i="3"/>
  <c r="E5" i="3"/>
  <c r="D5" i="3"/>
  <c r="C5" i="3"/>
  <c r="B5" i="3"/>
  <c r="A5" i="3"/>
  <c r="A6" i="3" s="1"/>
  <c r="F6" i="3" s="1"/>
  <c r="B10" i="4" l="1"/>
  <c r="A9" i="4"/>
  <c r="F4" i="4"/>
  <c r="Q5" i="3"/>
  <c r="D9" i="4"/>
  <c r="E9" i="4"/>
  <c r="F9" i="4"/>
  <c r="C9" i="4"/>
  <c r="I6" i="3"/>
  <c r="J6" i="3"/>
  <c r="Q6" i="3"/>
  <c r="P6" i="3"/>
  <c r="O6" i="3"/>
  <c r="N6" i="3"/>
  <c r="L6" i="3"/>
  <c r="M6" i="3"/>
  <c r="G6" i="3"/>
  <c r="C6" i="3"/>
  <c r="A7" i="3"/>
  <c r="F7" i="3" s="1"/>
  <c r="B6" i="3"/>
  <c r="H6" i="3"/>
  <c r="E6" i="3"/>
  <c r="D6" i="3"/>
  <c r="B11" i="4" l="1"/>
  <c r="A11" i="4" s="1"/>
  <c r="A10" i="4"/>
  <c r="F10" i="4"/>
  <c r="C10" i="4"/>
  <c r="E10" i="4"/>
  <c r="D10" i="4"/>
  <c r="I7" i="3"/>
  <c r="J7" i="3"/>
  <c r="P7" i="3"/>
  <c r="L7" i="3"/>
  <c r="M7" i="3"/>
  <c r="N7" i="3"/>
  <c r="O7" i="3"/>
  <c r="A8" i="3"/>
  <c r="F8" i="3" s="1"/>
  <c r="B7" i="3"/>
  <c r="G7" i="3"/>
  <c r="E7" i="3"/>
  <c r="H7" i="3"/>
  <c r="D7" i="3"/>
  <c r="H5" i="3"/>
  <c r="K6" i="3" l="1"/>
  <c r="K7" i="3"/>
  <c r="D11" i="4"/>
  <c r="E11" i="4"/>
  <c r="F11" i="4"/>
  <c r="C11" i="4"/>
  <c r="I8" i="3"/>
  <c r="K8" i="3"/>
  <c r="L8" i="3"/>
  <c r="N8" i="3"/>
  <c r="M8" i="3"/>
  <c r="O8" i="3"/>
  <c r="P8" i="3"/>
  <c r="J8" i="3"/>
  <c r="E8" i="3"/>
  <c r="H8" i="3"/>
  <c r="D8" i="3"/>
  <c r="A9" i="3"/>
  <c r="F9" i="3" s="1"/>
  <c r="G8" i="3"/>
  <c r="C8" i="3"/>
  <c r="B8" i="3"/>
  <c r="I9" i="3" l="1"/>
  <c r="L9" i="3"/>
  <c r="O9" i="3"/>
  <c r="J9" i="3"/>
  <c r="K9" i="3"/>
  <c r="M9" i="3"/>
  <c r="N9" i="3"/>
  <c r="P9" i="3"/>
  <c r="H9" i="3"/>
  <c r="D9" i="3"/>
  <c r="G9" i="3"/>
  <c r="C9" i="3"/>
  <c r="A10" i="3"/>
  <c r="F10" i="3" s="1"/>
  <c r="B9" i="3"/>
  <c r="E9" i="3"/>
  <c r="I10" i="3" l="1"/>
  <c r="M10" i="3"/>
  <c r="N10" i="3"/>
  <c r="K10" i="3"/>
  <c r="L10" i="3"/>
  <c r="O10" i="3"/>
  <c r="P10" i="3"/>
  <c r="J10" i="3"/>
  <c r="G10" i="3"/>
  <c r="C10" i="3"/>
  <c r="A11" i="3"/>
  <c r="F11" i="3" s="1"/>
  <c r="B10" i="3"/>
  <c r="D10" i="3"/>
  <c r="E10" i="3"/>
  <c r="H10" i="3"/>
  <c r="I11" i="3" l="1"/>
  <c r="N11" i="3"/>
  <c r="O11" i="3"/>
  <c r="P11" i="3"/>
  <c r="L11" i="3"/>
  <c r="J11" i="3"/>
  <c r="K11" i="3"/>
  <c r="M11" i="3"/>
  <c r="A12" i="3"/>
  <c r="F12" i="3" s="1"/>
  <c r="B11" i="3"/>
  <c r="C11" i="3"/>
  <c r="E11" i="3"/>
  <c r="G11" i="3"/>
  <c r="H11" i="3"/>
  <c r="D11" i="3"/>
  <c r="O12" i="3" l="1"/>
  <c r="P12" i="3"/>
  <c r="J12" i="3"/>
  <c r="N12" i="3"/>
  <c r="K12" i="3"/>
  <c r="L12" i="3"/>
  <c r="M12" i="3"/>
  <c r="A13" i="3"/>
  <c r="F13" i="3" s="1"/>
  <c r="I12" i="3"/>
  <c r="E12" i="3"/>
  <c r="H12" i="3"/>
  <c r="D12" i="3"/>
  <c r="B12" i="3"/>
  <c r="G12" i="3"/>
  <c r="C12" i="3"/>
  <c r="I13" i="3" l="1"/>
  <c r="P13" i="3"/>
  <c r="K13" i="3"/>
  <c r="N13" i="3"/>
  <c r="J13" i="3"/>
  <c r="O13" i="3"/>
  <c r="L13" i="3"/>
  <c r="M13" i="3"/>
  <c r="E13" i="3"/>
  <c r="H13" i="3"/>
  <c r="D13" i="3"/>
  <c r="G13" i="3"/>
  <c r="C13" i="3"/>
  <c r="B13" i="3"/>
</calcChain>
</file>

<file path=xl/sharedStrings.xml><?xml version="1.0" encoding="utf-8"?>
<sst xmlns="http://schemas.openxmlformats.org/spreadsheetml/2006/main" count="438" uniqueCount="268">
  <si>
    <t>10X Genomics 3' &amp; 5' Sample Submission Form</t>
  </si>
  <si>
    <t>[SELECT ONE]</t>
  </si>
  <si>
    <t>Submission Date (YYYY-MM-DD):</t>
  </si>
  <si>
    <t>Submitter Contact Name:</t>
  </si>
  <si>
    <t>Cell Ranger Version (optional):</t>
  </si>
  <si>
    <t>Submitter Contact Email:</t>
  </si>
  <si>
    <t>Immediate Sample Follow-up Phone Number:</t>
  </si>
  <si>
    <t>Reference Genome:</t>
  </si>
  <si>
    <t>Institute / University / Company:</t>
  </si>
  <si>
    <t>PI Approval Signature:</t>
  </si>
  <si>
    <t xml:space="preserve">Payment Source: </t>
  </si>
  <si>
    <t>Data Recipient Contact Name:</t>
  </si>
  <si>
    <t>Data Recipient Email:</t>
  </si>
  <si>
    <t>Billing Contact Name:</t>
  </si>
  <si>
    <t>UHN Cluster Space (if applicable):</t>
  </si>
  <si>
    <t>Billing Contact Email:</t>
  </si>
  <si>
    <t>☣</t>
  </si>
  <si>
    <r>
      <rPr>
        <b/>
        <sz val="12"/>
        <color rgb="FF000000"/>
        <rFont val="Arial"/>
        <family val="2"/>
      </rPr>
      <t xml:space="preserve">Please select </t>
    </r>
    <r>
      <rPr>
        <b/>
        <sz val="12"/>
        <color rgb="FFFF0000"/>
        <rFont val="Arial"/>
        <family val="2"/>
      </rPr>
      <t xml:space="preserve">Sample Product </t>
    </r>
    <r>
      <rPr>
        <b/>
        <sz val="12"/>
        <color rgb="FF000000"/>
        <rFont val="Arial"/>
        <family val="2"/>
      </rPr>
      <t>for Submission:</t>
    </r>
  </si>
  <si>
    <t>No</t>
  </si>
  <si>
    <t>Submission for CMO Barcoding?</t>
  </si>
  <si>
    <r>
      <rPr>
        <b/>
        <sz val="12"/>
        <color rgb="FF000000"/>
        <rFont val="Arial"/>
        <family val="2"/>
      </rPr>
      <t xml:space="preserve">Please select </t>
    </r>
    <r>
      <rPr>
        <b/>
        <sz val="12"/>
        <color rgb="FFFF0000"/>
        <rFont val="Arial"/>
        <family val="2"/>
      </rPr>
      <t xml:space="preserve">Chemistry </t>
    </r>
    <r>
      <rPr>
        <b/>
        <sz val="12"/>
        <color rgb="FF000000"/>
        <rFont val="Arial"/>
        <family val="2"/>
      </rPr>
      <t>for Submission:</t>
    </r>
  </si>
  <si>
    <t>Please select barcoding strategy:</t>
  </si>
  <si>
    <t>Barcoding Method:</t>
  </si>
  <si>
    <t>Minimum Cell Viability for capture:</t>
  </si>
  <si>
    <t>80%&gt;</t>
  </si>
  <si>
    <t>Please select antibody used:</t>
  </si>
  <si>
    <t>#Antibodies used:</t>
  </si>
  <si>
    <t>*Please list antibodies and sequences on the next Sheet "Antibody List"</t>
  </si>
  <si>
    <t>Sample Name
*alphanumeric, _ or - only</t>
  </si>
  <si>
    <t>Sample Type</t>
  </si>
  <si>
    <t>Sample Source (e.g. mouse kidney, human liver)</t>
  </si>
  <si>
    <t>Return Any Leftover Sample?</t>
  </si>
  <si>
    <t>Is there any targ. enrichment (e.g TCR, BCR, Cite-seq, BEAM-T, CRISPR, etc)?</t>
  </si>
  <si>
    <t>Add_Lines_Here_Only</t>
  </si>
  <si>
    <t>Sample Name</t>
  </si>
  <si>
    <t>Single Cell Kit Type</t>
  </si>
  <si>
    <t>PMGC Sample ID</t>
  </si>
  <si>
    <t>Notes</t>
  </si>
  <si>
    <t>Live</t>
  </si>
  <si>
    <t>Dead</t>
  </si>
  <si>
    <t>Sample Viability</t>
  </si>
  <si>
    <t>PMGC Count: (cells/ul) or (nuclei/ul)</t>
  </si>
  <si>
    <t>Sample Loading Vol (ul)</t>
  </si>
  <si>
    <t>Sample Buffer Loading Vol (ul)</t>
  </si>
  <si>
    <t>Conc Rounding?</t>
  </si>
  <si>
    <t>Reagent</t>
  </si>
  <si>
    <t>Lot Numbers</t>
  </si>
  <si>
    <t>GEM Beads</t>
  </si>
  <si>
    <t>Chip</t>
  </si>
  <si>
    <t>Partitioning Oil</t>
  </si>
  <si>
    <t>Gasket</t>
  </si>
  <si>
    <t>Antibody Type:</t>
  </si>
  <si>
    <t xml:space="preserve"> Antibody ID</t>
  </si>
  <si>
    <t>Description</t>
  </si>
  <si>
    <t>Clone</t>
  </si>
  <si>
    <t>Barcode</t>
  </si>
  <si>
    <t>Ensemble ID</t>
  </si>
  <si>
    <t>Gene name</t>
  </si>
  <si>
    <t>Original</t>
  </si>
  <si>
    <t>apple</t>
  </si>
  <si>
    <t>banana</t>
  </si>
  <si>
    <t>Nuc-seq Next GEM</t>
  </si>
  <si>
    <t>Barcoding Strategies</t>
  </si>
  <si>
    <t>Yes</t>
  </si>
  <si>
    <t>Pick-up extracted nuclei after GEM Generation</t>
  </si>
  <si>
    <t>Sample Multiplexing: I require PMGC to tag and pool my samples</t>
  </si>
  <si>
    <t>TotalSeqA</t>
  </si>
  <si>
    <t>Hashtagging</t>
  </si>
  <si>
    <t>PMGC Count: (nuclei/ul)</t>
  </si>
  <si>
    <t>Store extracted nuclei in -20C with 50% Glycerol</t>
  </si>
  <si>
    <t>Hashtagging/Cite-seq: My samples have been tagged and require PMGC to pool</t>
  </si>
  <si>
    <t>TotalSeqB</t>
  </si>
  <si>
    <t>Cite-seq</t>
  </si>
  <si>
    <t>PMGC Count: (cells/ul)</t>
  </si>
  <si>
    <t>Discard extracted nuclei after GEM Generation</t>
  </si>
  <si>
    <t>Hashtagging/Cite-seq: My samples have been tagged and already pooled</t>
  </si>
  <si>
    <t>TotalSeqC</t>
  </si>
  <si>
    <t>Hashtagging &amp; Cite-seq</t>
  </si>
  <si>
    <t>Kit Versions</t>
  </si>
  <si>
    <t>Store remaining tissue in -80C</t>
  </si>
  <si>
    <t>3' Gene Expression v3.0</t>
  </si>
  <si>
    <t>3' Gene Expression v3.1</t>
  </si>
  <si>
    <t>5' Immune Profiling v2.0</t>
  </si>
  <si>
    <t>sample #</t>
  </si>
  <si>
    <t>PMGC count
(cells/ul)</t>
  </si>
  <si>
    <t>Loading
Sample Vol</t>
  </si>
  <si>
    <t>Loading
dH2O</t>
  </si>
  <si>
    <t>&lt;TABLE HEADER&gt;</t>
  </si>
  <si>
    <t>Sample/Name</t>
  </si>
  <si>
    <t>UDF/Sample Source</t>
  </si>
  <si>
    <t>UDF/Purification Method</t>
  </si>
  <si>
    <t>UDF/Single Cell Kit Type</t>
  </si>
  <si>
    <t>UDF/Target Number of Cells</t>
  </si>
  <si>
    <t>UDF/Reference Genome</t>
  </si>
  <si>
    <t>UDF/Sample Type</t>
  </si>
  <si>
    <t>UDF/Sample Viability</t>
  </si>
  <si>
    <t>UDF/Clarity Score</t>
  </si>
  <si>
    <t>UDF/Resuspension Volume</t>
  </si>
  <si>
    <t>UDF/Resuspension Buffer</t>
  </si>
  <si>
    <t>UDF/Target Enrichment</t>
  </si>
  <si>
    <t>UDF/Live Cells</t>
  </si>
  <si>
    <t>UDF/Dead Cells</t>
  </si>
  <si>
    <t>UDF/Cell Count (cells/ul)</t>
  </si>
  <si>
    <t>UDF/Loading Sample Volume</t>
  </si>
  <si>
    <t>UDF/dH2O</t>
  </si>
  <si>
    <t>&lt;/TABLE HEADER&gt;</t>
  </si>
  <si>
    <t>&lt;SAMPLE ENTRIES&gt;</t>
  </si>
  <si>
    <t>Tissue for Nuc-Seq</t>
  </si>
  <si>
    <t>Princess Margaret</t>
  </si>
  <si>
    <t>Chem Options</t>
  </si>
  <si>
    <t>5pr options</t>
  </si>
  <si>
    <t>3pr options</t>
  </si>
  <si>
    <t>CellRangerPipeline</t>
  </si>
  <si>
    <t>Round Down</t>
  </si>
  <si>
    <t>Nuclei</t>
  </si>
  <si>
    <t>UHN (e.g. TGH, Krembil, TWH)</t>
  </si>
  <si>
    <t>ChemOptions5pr</t>
  </si>
  <si>
    <t>5' Gene Expression Only  (Standard)</t>
  </si>
  <si>
    <t>3' Gene Expression Only (Standard)</t>
  </si>
  <si>
    <t>&lt;30%</t>
  </si>
  <si>
    <t>Cell Ranger 7.1.0 (Latest)</t>
  </si>
  <si>
    <t>As Is</t>
  </si>
  <si>
    <t>Single Cells</t>
  </si>
  <si>
    <t>External Academic (e.g SickKids, UofT)</t>
  </si>
  <si>
    <t>ChemOptions3pr</t>
  </si>
  <si>
    <t>TCR</t>
  </si>
  <si>
    <t>Hashtag</t>
  </si>
  <si>
    <t>31-35%</t>
  </si>
  <si>
    <t xml:space="preserve">Cell Ranger 7.0.1 </t>
  </si>
  <si>
    <t>Commercial</t>
  </si>
  <si>
    <t>BCR</t>
  </si>
  <si>
    <t>Cite-Seq</t>
  </si>
  <si>
    <t>36-40%</t>
  </si>
  <si>
    <t>Cell Ranger 7.0.0</t>
  </si>
  <si>
    <t>Credit Card (if previously discussed with PMGC)</t>
  </si>
  <si>
    <t>Cite-Seq + Hashtag</t>
  </si>
  <si>
    <t>41-45%</t>
  </si>
  <si>
    <t>Cell Ranger 6.1.2</t>
  </si>
  <si>
    <t>TCR + BCR</t>
  </si>
  <si>
    <t>Targeted Gene Expression</t>
  </si>
  <si>
    <t>46-50%</t>
  </si>
  <si>
    <t>Cell Ranger 6.1.1</t>
  </si>
  <si>
    <t>Fresh Single Cell Suspension</t>
  </si>
  <si>
    <t>TCR + Cite-Seq</t>
  </si>
  <si>
    <t>CRISPR</t>
  </si>
  <si>
    <t>51-55%</t>
  </si>
  <si>
    <t>Cell Ranger 6.1.0</t>
  </si>
  <si>
    <t>Viably Frozen</t>
  </si>
  <si>
    <t>BCR + Cite-Seq</t>
  </si>
  <si>
    <t>CRISPR + Cell Multiplexing</t>
  </si>
  <si>
    <t>56-60%</t>
  </si>
  <si>
    <t>Cell Ranger 6.0.2</t>
  </si>
  <si>
    <t>Frozen Tissue</t>
  </si>
  <si>
    <t>TCR + BCR + Cite-Seq</t>
  </si>
  <si>
    <t>If other, please specify in comments below</t>
  </si>
  <si>
    <t>61%-65%</t>
  </si>
  <si>
    <t>Cell Ranger 6.0.1</t>
  </si>
  <si>
    <t>Methanol Fixation</t>
  </si>
  <si>
    <t>66-70%</t>
  </si>
  <si>
    <t>Not required, send FastQ only</t>
  </si>
  <si>
    <t>Other (explain in experimental conditions)</t>
  </si>
  <si>
    <t>71-75%</t>
  </si>
  <si>
    <t>76-80%</t>
  </si>
  <si>
    <t>Original_GEM</t>
  </si>
  <si>
    <t>total vol</t>
  </si>
  <si>
    <t>calculation</t>
  </si>
  <si>
    <t xml:space="preserve">capture efficiency </t>
  </si>
  <si>
    <t>3' v2</t>
  </si>
  <si>
    <t>target nuclei recovery / 0.575 / stock conc</t>
  </si>
  <si>
    <t>CRISPR + TCR</t>
  </si>
  <si>
    <t>Disuss with me via immediate contact number</t>
  </si>
  <si>
    <t>3' v3</t>
  </si>
  <si>
    <t>target nuclei recovery / 0.625 / stock conc</t>
  </si>
  <si>
    <t>CRISPR + BCR</t>
  </si>
  <si>
    <t>3' CITE-seq v3</t>
  </si>
  <si>
    <t>CRISPR + TCR + BCR</t>
  </si>
  <si>
    <t>3' Hashtag v3</t>
  </si>
  <si>
    <t xml:space="preserve">CRISPR + Cite-Seq </t>
  </si>
  <si>
    <t>3' Cell-Plexing v3</t>
  </si>
  <si>
    <t>CRISPR + Cite-Seq + TCR</t>
  </si>
  <si>
    <t>5' GEX v1</t>
  </si>
  <si>
    <t>CRISPR + Cite-Seq + TCR + BCR</t>
  </si>
  <si>
    <t>5' CITE-seq v1</t>
  </si>
  <si>
    <t>BEAM-Ab</t>
  </si>
  <si>
    <t>scATAC v1</t>
  </si>
  <si>
    <t>target nuclei recovery / 0.6535 / stock conc</t>
  </si>
  <si>
    <t>BEAM-T</t>
  </si>
  <si>
    <t>BEAM-Ab + BEAM-T</t>
  </si>
  <si>
    <t>Next GEM</t>
  </si>
  <si>
    <t>BEAM-Ab + BEAM-T + Cite-Seq</t>
  </si>
  <si>
    <t>3' GEX v3.1</t>
  </si>
  <si>
    <t>target nuclei recovery /0.605/stock conc</t>
  </si>
  <si>
    <t>BEAM-Ab + BEAM-T + Cite-Seq + TCR</t>
  </si>
  <si>
    <t>3' CITE-seq v3.1</t>
  </si>
  <si>
    <t>BEAM-Ab + BEAM-T + Cite-Seq + BCR</t>
  </si>
  <si>
    <t>3' Hashtag v3.1</t>
  </si>
  <si>
    <t>BEAM-Ab + BEAM-T + Cite-Seq + TCR + BCR</t>
  </si>
  <si>
    <t>3' Cell-Plexing v3.1</t>
  </si>
  <si>
    <t>BEAM-Ab + Cite-Seq</t>
  </si>
  <si>
    <t>5' GEX v2</t>
  </si>
  <si>
    <t>5' GEX v1.1</t>
  </si>
  <si>
    <t>target nuclei recovery/0.605/stock conc</t>
  </si>
  <si>
    <t>BEAM-Ab + TCR</t>
  </si>
  <si>
    <t>vol of sample</t>
  </si>
  <si>
    <t>target cell</t>
  </si>
  <si>
    <t>stock</t>
  </si>
  <si>
    <t>5' CITE-seq v1.1</t>
  </si>
  <si>
    <t>BEAM-Ab + BCR</t>
  </si>
  <si>
    <t>calc. as scRNA: targ. Nuclei recovery / 0.6535 / stock conc</t>
  </si>
  <si>
    <t>5' GEX v2.0</t>
  </si>
  <si>
    <t>BEAM-Ab + TCR + BCR</t>
  </si>
  <si>
    <t>scATAC v1.1</t>
  </si>
  <si>
    <t>BEAM-Ab + TCR + BCR + Cite-Seq</t>
  </si>
  <si>
    <t>BEAM-T + Cite-Seq</t>
  </si>
  <si>
    <t>BEAM-T + TCR</t>
  </si>
  <si>
    <t>Nuc-seq 3' v3.1</t>
  </si>
  <si>
    <t>BEAM-T + BCR</t>
  </si>
  <si>
    <t>Nuc-seq 5' GEX v1.1</t>
  </si>
  <si>
    <t>BEAM-T + TCR + BCR</t>
  </si>
  <si>
    <t>Nuc-seq 5' GEX v2.0</t>
  </si>
  <si>
    <t>BEAM-T + TCR + BCR + Cite-Seq</t>
  </si>
  <si>
    <t>Nuc-seq ATAC v1.1</t>
  </si>
  <si>
    <t>If other, please specify in the comments below</t>
  </si>
  <si>
    <t>Nuc-seq</t>
  </si>
  <si>
    <t>Nuc-seq 3' v2</t>
  </si>
  <si>
    <t>Nuc-seq 3' v3</t>
  </si>
  <si>
    <t>Nuc-seq 5' GEX v1</t>
  </si>
  <si>
    <t>Nuc-seq ATAC v1</t>
  </si>
  <si>
    <t>D25-D33</t>
  </si>
  <si>
    <t>3' v3.1</t>
  </si>
  <si>
    <t>PMGC SECTION ONLY:</t>
  </si>
  <si>
    <t>Questions For Submissions: Gurbaksh.Basi@uhn.ca</t>
  </si>
  <si>
    <t>Actual target</t>
  </si>
  <si>
    <t>New Study: Use the Latest Analysis Pipeline Version as recommended by 10X Genomics</t>
  </si>
  <si>
    <t>ON-GOING Study: Use the same Analysis Pipeline version to a previous submission</t>
  </si>
  <si>
    <t>Is this a New study?:</t>
  </si>
  <si>
    <t>Additional Notes and Sequencing Requirements (processing prior submission e.g. # washes, sample quality, cell shape, etc):</t>
  </si>
  <si>
    <t>Please fill in all highlighted cells:</t>
  </si>
  <si>
    <t>Are these specimens known or suspected to be infected with pathogens? (If Yes, please specify)</t>
  </si>
  <si>
    <t>Calculation Updates 2024</t>
  </si>
  <si>
    <t>3' GEX v4.0</t>
  </si>
  <si>
    <t>5' GEX v3.0</t>
  </si>
  <si>
    <t>target cell recovery /0.605/stock conc</t>
  </si>
  <si>
    <t>To use Original formula before 2024 to put in cells under column "Sample Volume (ul)" =IFERROR(IF(K33="Round Up",H19/VLOOKUP(B33,Lists!$A$14:$D$43,4,FALSE)/ROUNDUP(H33,-2),IF(K33="Round Down",H19/VLOOKUP(B33,Lists!$A$14:$D$43,4,FALSE)/ROUNDDOWN(H33,-2),H19/VLOOKUP(B33,Lists!$A$14:$D$43,4,FALSE)/H33)),"")</t>
  </si>
  <si>
    <t>*Pre 2024 emperical data</t>
  </si>
  <si>
    <t>GEM3pr2024</t>
  </si>
  <si>
    <t>GEM5pr2024</t>
  </si>
  <si>
    <t>5' Immune Profiling v3.0</t>
  </si>
  <si>
    <t>3' Gene Expression v4.0</t>
  </si>
  <si>
    <t>Other, specify in notes above</t>
  </si>
  <si>
    <t>target cell recovery /0.689/stock conc</t>
  </si>
  <si>
    <t>*Determined by average cell recovery range of 1000-20000 target cells calculated from user guide</t>
  </si>
  <si>
    <t>3' Gene Expression Only  (Standard)</t>
  </si>
  <si>
    <t>Options5pr2024</t>
  </si>
  <si>
    <t>Options3pr2024</t>
  </si>
  <si>
    <t>Submission for Hashtagging and/or Cite-Seq?</t>
  </si>
  <si>
    <t>Hashtag + BCR</t>
  </si>
  <si>
    <t>Hashtag + TCR</t>
  </si>
  <si>
    <t>Hashtag + BCR + TCR</t>
  </si>
  <si>
    <t>Hashtag + Cite-Seq + BCR + TCR</t>
  </si>
  <si>
    <t>Please update later in email</t>
  </si>
  <si>
    <t>PCR Machine:</t>
  </si>
  <si>
    <t>Chip Kit Box LN:</t>
  </si>
  <si>
    <t>Gel Bead Box LN:</t>
  </si>
  <si>
    <t>GEM Kit LN:</t>
  </si>
  <si>
    <t>Principal Investigator's Name and Email:</t>
  </si>
  <si>
    <t>Version 2.1 (Rev August 2024)</t>
  </si>
  <si>
    <r>
      <t xml:space="preserve">*PMGC will retain non-perishable cell preparation/tissue samples and resulting downstream products no longer than </t>
    </r>
    <r>
      <rPr>
        <b/>
        <i/>
        <u/>
        <sz val="16"/>
        <rFont val="Arial"/>
        <family val="2"/>
      </rPr>
      <t>3 years</t>
    </r>
    <r>
      <rPr>
        <b/>
        <i/>
        <sz val="16"/>
        <rFont val="Arial"/>
        <family val="2"/>
      </rPr>
      <t xml:space="preserve"> from the date of submission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</si>
</sst>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mmdd;@"/>
    <numFmt numFmtId="165" formatCode="0.0"/>
  </numFmts>
  <fonts count="31" x14ac:knownFonts="1">
    <font>
      <sz val="10"/>
      <color rgb="FF00000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222222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sz val="28"/>
      <color rgb="FF00000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  <font>
      <b/>
      <sz val="18"/>
      <color rgb="FF000000"/>
      <name val="Arial"/>
      <family val="2"/>
    </font>
    <font>
      <sz val="12"/>
      <color theme="1"/>
      <name val="Arial"/>
      <family val="2"/>
    </font>
    <font>
      <b/>
      <sz val="20"/>
      <color theme="4" tint="-0.249977111117893"/>
      <name val="Arial"/>
      <family val="2"/>
    </font>
    <font>
      <b/>
      <sz val="26"/>
      <color theme="0"/>
      <name val="Arial"/>
      <family val="2"/>
    </font>
    <font>
      <b/>
      <sz val="14"/>
      <color theme="0"/>
      <name val="Arial"/>
      <family val="2"/>
    </font>
    <font>
      <b/>
      <i/>
      <sz val="16"/>
      <name val="Arial"/>
      <family val="2"/>
    </font>
    <font>
      <b/>
      <i/>
      <u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D1F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7" fillId="0" borderId="0" xfId="0" applyFont="1"/>
    <xf numFmtId="164" fontId="7" fillId="0" borderId="0" xfId="0" quotePrefix="1" applyNumberFormat="1" applyFont="1"/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9" fontId="0" fillId="0" borderId="3" xfId="1" applyFont="1" applyFill="1" applyBorder="1" applyAlignment="1"/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0" xfId="0" applyFont="1"/>
    <xf numFmtId="0" fontId="1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0" fontId="9" fillId="0" borderId="0" xfId="0" applyFont="1"/>
    <xf numFmtId="9" fontId="0" fillId="0" borderId="0" xfId="1" applyFont="1" applyFill="1" applyBorder="1" applyAlignment="1"/>
    <xf numFmtId="0" fontId="7" fillId="0" borderId="3" xfId="0" applyFont="1" applyBorder="1"/>
    <xf numFmtId="0" fontId="14" fillId="0" borderId="0" xfId="0" applyFont="1"/>
    <xf numFmtId="165" fontId="0" fillId="0" borderId="3" xfId="0" applyNumberFormat="1" applyBorder="1"/>
    <xf numFmtId="0" fontId="1" fillId="0" borderId="8" xfId="0" applyFont="1" applyBorder="1" applyAlignment="1">
      <alignment horizontal="center" vertical="center" wrapText="1"/>
    </xf>
    <xf numFmtId="0" fontId="0" fillId="0" borderId="8" xfId="0" applyBorder="1"/>
    <xf numFmtId="0" fontId="0" fillId="0" borderId="5" xfId="0" applyBorder="1"/>
    <xf numFmtId="0" fontId="7" fillId="0" borderId="8" xfId="0" applyFont="1" applyBorder="1"/>
    <xf numFmtId="9" fontId="7" fillId="0" borderId="3" xfId="1" applyFont="1" applyFill="1" applyBorder="1" applyAlignme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9" xfId="0" applyFont="1" applyBorder="1" applyAlignment="1">
      <alignment horizontal="center" wrapText="1"/>
    </xf>
    <xf numFmtId="0" fontId="0" fillId="0" borderId="9" xfId="0" applyBorder="1"/>
    <xf numFmtId="0" fontId="18" fillId="0" borderId="10" xfId="0" applyFont="1" applyBorder="1" applyAlignment="1">
      <alignment horizontal="center" wrapText="1"/>
    </xf>
    <xf numFmtId="0" fontId="13" fillId="0" borderId="11" xfId="0" applyFont="1" applyBorder="1"/>
    <xf numFmtId="0" fontId="13" fillId="2" borderId="12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0" fillId="0" borderId="3" xfId="0" applyFont="1" applyBorder="1"/>
    <xf numFmtId="0" fontId="21" fillId="3" borderId="13" xfId="0" applyFont="1" applyFill="1" applyBorder="1"/>
    <xf numFmtId="0" fontId="21" fillId="0" borderId="13" xfId="0" applyFont="1" applyBorder="1"/>
    <xf numFmtId="0" fontId="16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1" fillId="0" borderId="3" xfId="0" applyFont="1" applyBorder="1"/>
    <xf numFmtId="0" fontId="21" fillId="0" borderId="0" xfId="0" applyFont="1"/>
    <xf numFmtId="0" fontId="23" fillId="0" borderId="0" xfId="0" applyFont="1" applyAlignment="1">
      <alignment wrapText="1"/>
    </xf>
    <xf numFmtId="0" fontId="25" fillId="0" borderId="0" xfId="0" applyFont="1"/>
    <xf numFmtId="0" fontId="11" fillId="0" borderId="8" xfId="0" applyFont="1" applyBorder="1"/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12" fillId="0" borderId="0" xfId="0" applyFont="1"/>
    <xf numFmtId="0" fontId="0" fillId="0" borderId="24" xfId="0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vertical="top"/>
    </xf>
    <xf numFmtId="0" fontId="0" fillId="0" borderId="31" xfId="0" applyBorder="1"/>
    <xf numFmtId="0" fontId="11" fillId="0" borderId="32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25" xfId="0" applyBorder="1"/>
    <xf numFmtId="0" fontId="11" fillId="0" borderId="34" xfId="0" applyFont="1" applyBorder="1" applyAlignme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14" fillId="0" borderId="3" xfId="0" applyFont="1" applyBorder="1"/>
    <xf numFmtId="0" fontId="0" fillId="4" borderId="3" xfId="0" applyFill="1" applyBorder="1"/>
    <xf numFmtId="14" fontId="2" fillId="4" borderId="35" xfId="0" applyNumberFormat="1" applyFont="1" applyFill="1" applyBorder="1"/>
    <xf numFmtId="0" fontId="2" fillId="5" borderId="3" xfId="0" applyFont="1" applyFill="1" applyBorder="1"/>
    <xf numFmtId="0" fontId="2" fillId="5" borderId="21" xfId="0" applyFont="1" applyFill="1" applyBorder="1"/>
    <xf numFmtId="0" fontId="2" fillId="5" borderId="1" xfId="0" applyFont="1" applyFill="1" applyBorder="1"/>
    <xf numFmtId="0" fontId="2" fillId="4" borderId="1" xfId="0" applyFont="1" applyFill="1" applyBorder="1"/>
    <xf numFmtId="0" fontId="5" fillId="4" borderId="1" xfId="0" applyFont="1" applyFill="1" applyBorder="1"/>
    <xf numFmtId="0" fontId="3" fillId="4" borderId="1" xfId="0" applyFont="1" applyFill="1" applyBorder="1"/>
    <xf numFmtId="0" fontId="3" fillId="4" borderId="30" xfId="0" applyFont="1" applyFill="1" applyBorder="1"/>
    <xf numFmtId="0" fontId="3" fillId="4" borderId="3" xfId="0" applyFont="1" applyFill="1" applyBorder="1"/>
    <xf numFmtId="0" fontId="3" fillId="4" borderId="3" xfId="0" applyFont="1" applyFill="1" applyBorder="1" applyAlignment="1">
      <alignment vertical="center"/>
    </xf>
    <xf numFmtId="0" fontId="3" fillId="5" borderId="2" xfId="0" applyFont="1" applyFill="1" applyBorder="1"/>
    <xf numFmtId="0" fontId="15" fillId="5" borderId="2" xfId="0" applyFont="1" applyFill="1" applyBorder="1"/>
    <xf numFmtId="0" fontId="3" fillId="5" borderId="3" xfId="0" applyFont="1" applyFill="1" applyBorder="1"/>
    <xf numFmtId="0" fontId="7" fillId="4" borderId="3" xfId="0" applyFont="1" applyFill="1" applyBorder="1"/>
    <xf numFmtId="3" fontId="0" fillId="4" borderId="17" xfId="0" applyNumberFormat="1" applyFill="1" applyBorder="1"/>
    <xf numFmtId="0" fontId="0" fillId="4" borderId="18" xfId="0" applyFill="1" applyBorder="1"/>
    <xf numFmtId="0" fontId="0" fillId="4" borderId="14" xfId="0" applyFill="1" applyBorder="1"/>
    <xf numFmtId="0" fontId="1" fillId="5" borderId="2" xfId="0" applyFont="1" applyFill="1" applyBorder="1"/>
    <xf numFmtId="3" fontId="0" fillId="4" borderId="19" xfId="0" applyNumberFormat="1" applyFill="1" applyBorder="1"/>
    <xf numFmtId="0" fontId="0" fillId="4" borderId="20" xfId="0" applyFill="1" applyBorder="1"/>
    <xf numFmtId="0" fontId="26" fillId="0" borderId="0" xfId="0" applyFont="1"/>
    <xf numFmtId="0" fontId="14" fillId="7" borderId="0" xfId="0" applyFont="1" applyFill="1"/>
    <xf numFmtId="0" fontId="23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0" fontId="2" fillId="4" borderId="36" xfId="0" applyFont="1" applyFill="1" applyBorder="1" applyAlignment="1">
      <alignment vertical="center" wrapText="1"/>
    </xf>
    <xf numFmtId="0" fontId="2" fillId="5" borderId="37" xfId="0" applyFont="1" applyFill="1" applyBorder="1"/>
    <xf numFmtId="0" fontId="8" fillId="5" borderId="37" xfId="0" applyFont="1" applyFill="1" applyBorder="1"/>
    <xf numFmtId="0" fontId="4" fillId="4" borderId="38" xfId="0" applyFont="1" applyFill="1" applyBorder="1"/>
    <xf numFmtId="0" fontId="1" fillId="5" borderId="37" xfId="0" applyFont="1" applyFill="1" applyBorder="1" applyAlignment="1">
      <alignment wrapText="1"/>
    </xf>
    <xf numFmtId="0" fontId="0" fillId="4" borderId="39" xfId="0" applyFill="1" applyBorder="1"/>
    <xf numFmtId="0" fontId="0" fillId="4" borderId="37" xfId="0" applyFill="1" applyBorder="1"/>
    <xf numFmtId="0" fontId="19" fillId="8" borderId="40" xfId="0" applyFont="1" applyFill="1" applyBorder="1"/>
    <xf numFmtId="0" fontId="28" fillId="9" borderId="0" xfId="0" applyFont="1" applyFill="1" applyAlignment="1">
      <alignment horizontal="left"/>
    </xf>
    <xf numFmtId="0" fontId="28" fillId="9" borderId="0" xfId="0" applyFont="1" applyFill="1"/>
    <xf numFmtId="0" fontId="14" fillId="9" borderId="0" xfId="0" applyFont="1" applyFill="1"/>
    <xf numFmtId="0" fontId="0" fillId="0" borderId="49" xfId="0" applyBorder="1"/>
    <xf numFmtId="0" fontId="0" fillId="10" borderId="0" xfId="0" applyFill="1"/>
    <xf numFmtId="0" fontId="22" fillId="10" borderId="0" xfId="0" applyFont="1" applyFill="1"/>
    <xf numFmtId="0" fontId="29" fillId="10" borderId="0" xfId="0" applyFont="1" applyFill="1"/>
    <xf numFmtId="0" fontId="24" fillId="6" borderId="5" xfId="0" applyFont="1" applyFill="1" applyBorder="1" applyAlignment="1">
      <alignment horizontal="left"/>
    </xf>
    <xf numFmtId="0" fontId="24" fillId="6" borderId="22" xfId="0" applyFont="1" applyFill="1" applyBorder="1" applyAlignment="1">
      <alignment horizontal="left"/>
    </xf>
    <xf numFmtId="0" fontId="24" fillId="6" borderId="8" xfId="0" applyFont="1" applyFill="1" applyBorder="1" applyAlignment="1">
      <alignment horizontal="left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27" fillId="9" borderId="0" xfId="0" applyFont="1" applyFill="1" applyAlignment="1">
      <alignment horizontal="center" vertical="center"/>
    </xf>
    <xf numFmtId="0" fontId="21" fillId="4" borderId="44" xfId="0" applyFont="1" applyFill="1" applyBorder="1" applyAlignment="1">
      <alignment horizontal="center" wrapText="1"/>
    </xf>
    <xf numFmtId="0" fontId="21" fillId="4" borderId="23" xfId="0" applyFont="1" applyFill="1" applyBorder="1" applyAlignment="1">
      <alignment horizontal="center" wrapText="1"/>
    </xf>
    <xf numFmtId="0" fontId="21" fillId="4" borderId="45" xfId="0" applyFont="1" applyFill="1" applyBorder="1" applyAlignment="1">
      <alignment horizontal="center" wrapText="1"/>
    </xf>
    <xf numFmtId="0" fontId="21" fillId="4" borderId="28" xfId="0" applyFont="1" applyFill="1" applyBorder="1" applyAlignment="1">
      <alignment horizontal="center" wrapText="1"/>
    </xf>
    <xf numFmtId="0" fontId="21" fillId="4" borderId="0" xfId="0" applyFont="1" applyFill="1" applyAlignment="1">
      <alignment horizontal="center" wrapText="1"/>
    </xf>
    <xf numFmtId="0" fontId="21" fillId="4" borderId="39" xfId="0" applyFont="1" applyFill="1" applyBorder="1" applyAlignment="1">
      <alignment horizontal="center" wrapText="1"/>
    </xf>
    <xf numFmtId="0" fontId="21" fillId="4" borderId="46" xfId="0" applyFont="1" applyFill="1" applyBorder="1" applyAlignment="1">
      <alignment horizontal="center" wrapText="1"/>
    </xf>
    <xf numFmtId="0" fontId="21" fillId="4" borderId="47" xfId="0" applyFont="1" applyFill="1" applyBorder="1" applyAlignment="1">
      <alignment horizontal="center" wrapText="1"/>
    </xf>
    <xf numFmtId="0" fontId="21" fillId="4" borderId="48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0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rgb="FFFFFF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  <fill>
        <patternFill patternType="solid">
          <bgColor theme="4" tint="0.7999816888943144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bgColor theme="4" tint="0.7999816888943144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 patternType="solid">
          <bgColor theme="4" tint="0.7999816888943144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 patternType="solid">
          <bgColor theme="4" tint="0.7999816888943144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99C935"/>
      <color rgb="FF0D1F31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987740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29540" cy="119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3</xdr:row>
          <xdr:rowOff>19050</xdr:rowOff>
        </xdr:from>
        <xdr:to>
          <xdr:col>5</xdr:col>
          <xdr:colOff>1125</xdr:colOff>
          <xdr:row>4</xdr:row>
          <xdr:rowOff>1125</xdr:rowOff>
        </xdr:to>
        <xdr:pic>
          <xdr:nvPicPr>
            <xdr:cNvPr id="16" name="Picture 15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4" spid="_x0000_s198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00800" y="70485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4</xdr:row>
          <xdr:rowOff>19050</xdr:rowOff>
        </xdr:from>
        <xdr:to>
          <xdr:col>5</xdr:col>
          <xdr:colOff>1125</xdr:colOff>
          <xdr:row>5</xdr:row>
          <xdr:rowOff>1125</xdr:rowOff>
        </xdr:to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5" spid="_x0000_s198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400800" y="86677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5</xdr:row>
          <xdr:rowOff>19050</xdr:rowOff>
        </xdr:from>
        <xdr:to>
          <xdr:col>5</xdr:col>
          <xdr:colOff>1125</xdr:colOff>
          <xdr:row>6</xdr:row>
          <xdr:rowOff>1125</xdr:rowOff>
        </xdr:to>
        <xdr:pic>
          <xdr:nvPicPr>
            <xdr:cNvPr id="23" name="Picture 22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6" spid="_x0000_s1989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02870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6</xdr:row>
          <xdr:rowOff>19050</xdr:rowOff>
        </xdr:from>
        <xdr:to>
          <xdr:col>5</xdr:col>
          <xdr:colOff>1125</xdr:colOff>
          <xdr:row>7</xdr:row>
          <xdr:rowOff>1125</xdr:rowOff>
        </xdr:to>
        <xdr:pic>
          <xdr:nvPicPr>
            <xdr:cNvPr id="25" name="Picture 2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7" spid="_x0000_s1989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19062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7</xdr:row>
          <xdr:rowOff>19050</xdr:rowOff>
        </xdr:from>
        <xdr:to>
          <xdr:col>5</xdr:col>
          <xdr:colOff>1125</xdr:colOff>
          <xdr:row>8</xdr:row>
          <xdr:rowOff>1125</xdr:rowOff>
        </xdr:to>
        <xdr:pic>
          <xdr:nvPicPr>
            <xdr:cNvPr id="28" name="Picture 27">
              <a:extLst>
                <a:ext uri="{FF2B5EF4-FFF2-40B4-BE49-F238E27FC236}">
                  <a16:creationId xmlns:a16="http://schemas.microsoft.com/office/drawing/2014/main" id="{00000000-0008-0000-0400-00001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8" spid="_x0000_s198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35255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8</xdr:row>
          <xdr:rowOff>19050</xdr:rowOff>
        </xdr:from>
        <xdr:to>
          <xdr:col>5</xdr:col>
          <xdr:colOff>1125</xdr:colOff>
          <xdr:row>9</xdr:row>
          <xdr:rowOff>1125</xdr:rowOff>
        </xdr:to>
        <xdr:pic>
          <xdr:nvPicPr>
            <xdr:cNvPr id="30" name="Picture 29">
              <a:extLst>
                <a:ext uri="{FF2B5EF4-FFF2-40B4-BE49-F238E27FC236}">
                  <a16:creationId xmlns:a16="http://schemas.microsoft.com/office/drawing/2014/main" id="{00000000-0008-0000-0400-00001E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9" spid="_x0000_s1989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51447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9</xdr:row>
          <xdr:rowOff>19050</xdr:rowOff>
        </xdr:from>
        <xdr:to>
          <xdr:col>5</xdr:col>
          <xdr:colOff>1125</xdr:colOff>
          <xdr:row>10</xdr:row>
          <xdr:rowOff>1125</xdr:rowOff>
        </xdr:to>
        <xdr:pic>
          <xdr:nvPicPr>
            <xdr:cNvPr id="33" name="Picture 32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10" spid="_x0000_s1989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67640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10</xdr:row>
          <xdr:rowOff>19050</xdr:rowOff>
        </xdr:from>
        <xdr:to>
          <xdr:col>5</xdr:col>
          <xdr:colOff>1125</xdr:colOff>
          <xdr:row>11</xdr:row>
          <xdr:rowOff>1125</xdr:rowOff>
        </xdr:to>
        <xdr:pic>
          <xdr:nvPicPr>
            <xdr:cNvPr id="36" name="Picture 35">
              <a:extLst>
                <a:ext uri="{FF2B5EF4-FFF2-40B4-BE49-F238E27FC236}">
                  <a16:creationId xmlns:a16="http://schemas.microsoft.com/office/drawing/2014/main" id="{00000000-0008-0000-0400-00002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11" spid="_x0000_s1989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83832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32:L43" totalsRowShown="0" headerRowDxfId="82" headerRowBorderDxfId="81" tableBorderDxfId="80">
  <tableColumns count="12">
    <tableColumn id="1" name="Sample Name" dataDxfId="79">
      <calculatedColumnFormula>IF(A19&lt;&gt;"",A19,"")</calculatedColumnFormula>
    </tableColumn>
    <tableColumn id="2" name="Single Cell Kit Type" dataDxfId="78"/>
    <tableColumn id="3" name="PMGC Sample ID" dataDxfId="77"/>
    <tableColumn id="4" name="Notes" dataDxfId="76"/>
    <tableColumn id="5" name="Live" dataDxfId="75"/>
    <tableColumn id="6" name="Dead" dataDxfId="74"/>
    <tableColumn id="7" name="Sample Viability" dataDxfId="73" dataCellStyle="Percent">
      <calculatedColumnFormula>IF(AND(E33&gt;0),E33/SUM(E33:F33),"")</calculatedColumnFormula>
    </tableColumn>
    <tableColumn id="8" name="PMGC Count: (cells/ul) or (nuclei/ul)" dataDxfId="72">
      <calculatedColumnFormula>IF(E33&lt;&gt;"",E33*5,"")</calculatedColumnFormula>
    </tableColumn>
    <tableColumn id="9" name="Sample Loading Vol (ul)" dataDxfId="71">
      <calculatedColumnFormula>IFERROR(IF(K33="Round Up",H19/VLOOKUP(B33,Lists!$A$67:$D$76,4,FALSE)/ROUNDUP(H33,-2),IF(K33="Round Down",H19/VLOOKUP(B33,Lists!$A$67:$D$76,4,FALSE)/ROUNDDOWN(H33,-2),H19/VLOOKUP(B33,Lists!$A$67:$D$76,4,FALSE)/H33)),"")</calculatedColumnFormula>
    </tableColumn>
    <tableColumn id="10" name="Sample Buffer Loading Vol (ul)" dataDxfId="70">
      <calculatedColumnFormula>IFERROR(VLOOKUP(B33,Lists!$A$67:$B$76,2,FALSE)-I33,"")</calculatedColumnFormula>
    </tableColumn>
    <tableColumn id="11" name="Conc Rounding?" dataDxfId="69"/>
    <tableColumn id="12" name="Actual target" dataDxfId="68">
      <calculatedColumnFormula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F1:F5" totalsRowShown="0" headerRowDxfId="10" dataDxfId="9">
  <autoFilter ref="F1:F5"/>
  <tableColumns count="1">
    <tableColumn id="1" name="Chem Options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G1:G42" totalsRowShown="0" headerRowDxfId="7" dataDxfId="6">
  <autoFilter ref="G1:G42"/>
  <tableColumns count="1">
    <tableColumn id="1" name="5pr options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H1:J24" totalsRowShown="0" headerRowDxfId="4" dataDxfId="3">
  <autoFilter ref="H1:J24"/>
  <tableColumns count="3">
    <tableColumn id="1" name="3pr options" dataDxfId="2"/>
    <tableColumn id="2" name="Options5pr2024" dataDxfId="1"/>
    <tableColumn id="3" name="Options3pr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zoomScale="70" zoomScaleNormal="70" workbookViewId="0">
      <selection activeCell="E10" sqref="E10"/>
    </sheetView>
  </sheetViews>
  <sheetFormatPr defaultColWidth="14.42578125" defaultRowHeight="15.75" customHeight="1" x14ac:dyDescent="0.2"/>
  <cols>
    <col min="1" max="1" width="61.85546875" customWidth="1"/>
    <col min="2" max="2" width="27.42578125" customWidth="1"/>
    <col min="3" max="3" width="27.140625" customWidth="1"/>
    <col min="4" max="4" width="65.85546875" customWidth="1"/>
    <col min="5" max="5" width="41.42578125" customWidth="1"/>
    <col min="6" max="6" width="42.28515625" bestFit="1" customWidth="1"/>
    <col min="7" max="7" width="29.140625" customWidth="1"/>
    <col min="8" max="8" width="27.140625" customWidth="1"/>
    <col min="9" max="9" width="20.28515625" customWidth="1"/>
    <col min="10" max="10" width="19.42578125" customWidth="1"/>
    <col min="11" max="11" width="22.85546875" customWidth="1"/>
    <col min="12" max="12" width="22.7109375" customWidth="1"/>
    <col min="14" max="14" width="16.42578125" customWidth="1"/>
  </cols>
  <sheetData>
    <row r="1" spans="1:12" ht="93.75" customHeight="1" x14ac:dyDescent="0.25">
      <c r="A1" s="109"/>
      <c r="B1" s="120" t="s">
        <v>0</v>
      </c>
      <c r="C1" s="120"/>
      <c r="D1" s="120"/>
      <c r="E1" s="120"/>
      <c r="F1" s="107" t="s">
        <v>266</v>
      </c>
      <c r="G1" s="108" t="s">
        <v>231</v>
      </c>
      <c r="H1" s="109"/>
      <c r="I1" s="109"/>
      <c r="J1" s="109"/>
      <c r="K1" s="96"/>
      <c r="L1" s="96"/>
    </row>
    <row r="2" spans="1:12" ht="20.25" x14ac:dyDescent="0.3">
      <c r="A2" s="113" t="s">
        <v>267</v>
      </c>
      <c r="B2" s="111"/>
      <c r="C2" s="111"/>
      <c r="D2" s="111"/>
      <c r="E2" s="111"/>
      <c r="F2" s="111"/>
      <c r="G2" s="112"/>
      <c r="H2" s="111"/>
      <c r="I2" s="111"/>
      <c r="J2" s="111"/>
      <c r="K2" s="111"/>
      <c r="L2" s="111"/>
    </row>
    <row r="3" spans="1:12" ht="30.95" customHeight="1" thickBot="1" x14ac:dyDescent="0.45">
      <c r="A3" s="95" t="s">
        <v>237</v>
      </c>
      <c r="B3" s="60"/>
      <c r="C3" s="60"/>
      <c r="D3" s="68"/>
      <c r="E3" s="69"/>
    </row>
    <row r="4" spans="1:12" ht="42.75" customHeight="1" x14ac:dyDescent="0.25">
      <c r="A4" s="98" t="s">
        <v>2</v>
      </c>
      <c r="B4" s="75"/>
      <c r="C4" s="70"/>
      <c r="D4" s="71" t="s">
        <v>235</v>
      </c>
      <c r="E4" s="99" t="s">
        <v>1</v>
      </c>
      <c r="F4" s="117" t="s">
        <v>236</v>
      </c>
      <c r="G4" s="118"/>
      <c r="H4" s="118"/>
      <c r="I4" s="118"/>
      <c r="J4" s="118"/>
      <c r="K4" s="118"/>
      <c r="L4" s="119"/>
    </row>
    <row r="5" spans="1:12" ht="15.95" customHeight="1" x14ac:dyDescent="0.25">
      <c r="A5" s="63" t="s">
        <v>3</v>
      </c>
      <c r="B5" s="76"/>
      <c r="D5" s="53" t="s">
        <v>4</v>
      </c>
      <c r="E5" s="100"/>
      <c r="F5" s="121"/>
      <c r="G5" s="122"/>
      <c r="H5" s="122"/>
      <c r="I5" s="122"/>
      <c r="J5" s="122"/>
      <c r="K5" s="122"/>
      <c r="L5" s="123"/>
    </row>
    <row r="6" spans="1:12" x14ac:dyDescent="0.25">
      <c r="A6" s="62" t="s">
        <v>5</v>
      </c>
      <c r="B6" s="77"/>
      <c r="C6" s="61"/>
      <c r="D6" s="57" t="s">
        <v>6</v>
      </c>
      <c r="E6" s="100"/>
      <c r="F6" s="124"/>
      <c r="G6" s="125"/>
      <c r="H6" s="125"/>
      <c r="I6" s="125"/>
      <c r="J6" s="125"/>
      <c r="K6" s="125"/>
      <c r="L6" s="126"/>
    </row>
    <row r="7" spans="1:12" ht="21.75" customHeight="1" x14ac:dyDescent="0.25">
      <c r="A7" s="62" t="s">
        <v>265</v>
      </c>
      <c r="B7" s="78"/>
      <c r="C7" s="61"/>
      <c r="D7" s="57" t="s">
        <v>7</v>
      </c>
      <c r="E7" s="101"/>
      <c r="F7" s="124"/>
      <c r="G7" s="125"/>
      <c r="H7" s="125"/>
      <c r="I7" s="125"/>
      <c r="J7" s="125"/>
      <c r="K7" s="125"/>
      <c r="L7" s="126"/>
    </row>
    <row r="8" spans="1:12" x14ac:dyDescent="0.25">
      <c r="A8" s="62" t="s">
        <v>8</v>
      </c>
      <c r="B8" s="78"/>
      <c r="C8" s="61"/>
      <c r="D8" s="58" t="s">
        <v>9</v>
      </c>
      <c r="E8" s="102"/>
      <c r="F8" s="124"/>
      <c r="G8" s="125"/>
      <c r="H8" s="125"/>
      <c r="I8" s="125"/>
      <c r="J8" s="125"/>
      <c r="K8" s="125"/>
      <c r="L8" s="126"/>
    </row>
    <row r="9" spans="1:12" x14ac:dyDescent="0.25">
      <c r="A9" s="62" t="s">
        <v>10</v>
      </c>
      <c r="B9" s="79" t="s">
        <v>1</v>
      </c>
      <c r="C9" s="61"/>
      <c r="D9" s="59" t="s">
        <v>11</v>
      </c>
      <c r="E9" s="103"/>
      <c r="F9" s="124"/>
      <c r="G9" s="125"/>
      <c r="H9" s="125"/>
      <c r="I9" s="125"/>
      <c r="J9" s="125"/>
      <c r="K9" s="125"/>
      <c r="L9" s="126"/>
    </row>
    <row r="10" spans="1:12" ht="15.75" customHeight="1" x14ac:dyDescent="0.25">
      <c r="A10" s="64" t="str">
        <f>IF(B9="Other","",IF(B9="Credit Card (if previously discussed with PMGC)","Do Not Enter Credit Card information.","UHN FCC or PO Number if provided:"))</f>
        <v>UHN FCC or PO Number if provided:</v>
      </c>
      <c r="B10" s="80"/>
      <c r="C10" s="61"/>
      <c r="D10" s="59" t="s">
        <v>12</v>
      </c>
      <c r="E10" s="104"/>
      <c r="F10" s="124"/>
      <c r="G10" s="125"/>
      <c r="H10" s="125"/>
      <c r="I10" s="125"/>
      <c r="J10" s="125"/>
      <c r="K10" s="125"/>
      <c r="L10" s="126"/>
    </row>
    <row r="11" spans="1:12" x14ac:dyDescent="0.25">
      <c r="A11" s="62" t="s">
        <v>13</v>
      </c>
      <c r="B11" s="81"/>
      <c r="C11" s="61"/>
      <c r="D11" s="59" t="s">
        <v>14</v>
      </c>
      <c r="E11" s="105"/>
      <c r="F11" s="124"/>
      <c r="G11" s="125"/>
      <c r="H11" s="125"/>
      <c r="I11" s="125"/>
      <c r="J11" s="125"/>
      <c r="K11" s="125"/>
      <c r="L11" s="126"/>
    </row>
    <row r="12" spans="1:12" ht="35.25" thickBot="1" x14ac:dyDescent="0.5">
      <c r="A12" s="65" t="s">
        <v>15</v>
      </c>
      <c r="B12" s="82"/>
      <c r="C12" s="66"/>
      <c r="D12" s="67" t="s">
        <v>238</v>
      </c>
      <c r="E12" s="106" t="s">
        <v>16</v>
      </c>
      <c r="F12" s="127"/>
      <c r="G12" s="128"/>
      <c r="H12" s="128"/>
      <c r="I12" s="128"/>
      <c r="J12" s="128"/>
      <c r="K12" s="128"/>
      <c r="L12" s="129"/>
    </row>
    <row r="13" spans="1:12" ht="15" x14ac:dyDescent="0.2">
      <c r="A13" s="11"/>
      <c r="B13" s="1"/>
      <c r="C13" s="4"/>
      <c r="F13" s="2"/>
    </row>
    <row r="14" spans="1:12" x14ac:dyDescent="0.25">
      <c r="A14" s="46" t="s">
        <v>17</v>
      </c>
      <c r="B14" s="83" t="s">
        <v>122</v>
      </c>
      <c r="C14" s="4"/>
      <c r="D14" s="32" t="s">
        <v>255</v>
      </c>
      <c r="E14" s="25" t="s">
        <v>18</v>
      </c>
      <c r="F14" s="32" t="s">
        <v>19</v>
      </c>
      <c r="G14" s="25" t="s">
        <v>18</v>
      </c>
    </row>
    <row r="15" spans="1:12" x14ac:dyDescent="0.25">
      <c r="A15" s="46" t="s">
        <v>20</v>
      </c>
      <c r="B15" s="84" t="s">
        <v>1</v>
      </c>
      <c r="C15" s="4"/>
      <c r="D15" s="34" t="s">
        <v>21</v>
      </c>
      <c r="E15" s="35" t="s">
        <v>1</v>
      </c>
      <c r="F15" s="34" t="s">
        <v>22</v>
      </c>
      <c r="G15" s="37" t="s">
        <v>1</v>
      </c>
    </row>
    <row r="16" spans="1:12" x14ac:dyDescent="0.25">
      <c r="A16" s="32" t="s">
        <v>23</v>
      </c>
      <c r="B16" s="33" t="s">
        <v>1</v>
      </c>
      <c r="C16" s="4"/>
      <c r="D16" s="32" t="s">
        <v>25</v>
      </c>
      <c r="E16" s="25" t="s">
        <v>1</v>
      </c>
      <c r="F16" s="32" t="s">
        <v>26</v>
      </c>
      <c r="H16" s="32" t="s">
        <v>27</v>
      </c>
    </row>
    <row r="17" spans="1:14" x14ac:dyDescent="0.25">
      <c r="A17" s="3"/>
      <c r="B17" s="1"/>
      <c r="C17" s="1"/>
      <c r="F17" s="1"/>
      <c r="G17" s="1"/>
      <c r="H17" s="1"/>
    </row>
    <row r="18" spans="1:14" ht="78.75" x14ac:dyDescent="0.2">
      <c r="A18" s="43" t="s">
        <v>28</v>
      </c>
      <c r="B18" s="44" t="s">
        <v>29</v>
      </c>
      <c r="C18" s="8" t="s">
        <v>30</v>
      </c>
      <c r="D18" s="8" t="str">
        <f>IF($B$14="Tissue for Nuc-Seq","Additional Sample Notes (e.g. control group, diseased, treated, etc)","Purification Method (beads, FACS, column, 40um filter, etc)")</f>
        <v>Purification Method (beads, FACS, column, 40um filter, etc)</v>
      </c>
      <c r="E18" s="15" t="str">
        <f>IF($B$14="Tissue for Nuc-Seq","Tissue Weight (mg)","Sample Buffer")</f>
        <v>Sample Buffer</v>
      </c>
      <c r="F18" s="8" t="str">
        <f>IF($B$14="Tissue for Nuc-Seq","Tissue Slice Orientation (optional)","Volume (ul)")</f>
        <v>Volume (ul)</v>
      </c>
      <c r="G18" s="45" t="str">
        <f>IF($B$14="Tissue for Nuc-Seq","Exhaust Tissue if necessary?","Recommended Spin Conditions [ __ xg and time (min)]")</f>
        <v>Recommended Spin Conditions [ __ xg and time (min)]</v>
      </c>
      <c r="H18" s="51" t="str">
        <f>IF(OR($B$14="Tissue for Nuc-Seq",$B$14="Nuclei"),"Target # Nuclei (REQUIRED)","Target # Cells (REQUIRED)")</f>
        <v>Target # Cells (REQUIRED)</v>
      </c>
      <c r="I18" s="52" t="str">
        <f>IF(OR($B$14="Tissue for Nuc-Seq",$B$14="Nuclei"),"Target # of reads per Nuclei (REQUIRED)","Target # of reads per Cell (REQUIRED)")</f>
        <v>Target # of reads per Cell (REQUIRED)</v>
      </c>
      <c r="J18" s="50" t="s">
        <v>31</v>
      </c>
      <c r="K18" s="49" t="str">
        <f>IF($B$14="Single Cells","Cell Conc(cells/ul)",IF($B$14="Nuclei","Nuclei Conc (nuclei/ul)"," "))</f>
        <v>Cell Conc(cells/ul)</v>
      </c>
      <c r="L18" s="49" t="s">
        <v>32</v>
      </c>
      <c r="M18" s="12"/>
      <c r="N18" s="12"/>
    </row>
    <row r="19" spans="1:14" ht="15.75" customHeight="1" x14ac:dyDescent="0.2">
      <c r="A19" s="85"/>
      <c r="B19" s="86" t="s">
        <v>1</v>
      </c>
      <c r="C19" s="87"/>
      <c r="D19" s="88"/>
      <c r="E19" s="85"/>
      <c r="F19" s="74"/>
      <c r="G19" s="85"/>
      <c r="H19" s="89"/>
      <c r="I19" s="90"/>
      <c r="J19" s="91" t="s">
        <v>1</v>
      </c>
      <c r="K19" s="5" t="s">
        <v>260</v>
      </c>
      <c r="L19" s="25" t="s">
        <v>1</v>
      </c>
    </row>
    <row r="20" spans="1:14" ht="15.75" customHeight="1" x14ac:dyDescent="0.2">
      <c r="A20" s="85"/>
      <c r="B20" s="86" t="s">
        <v>1</v>
      </c>
      <c r="C20" s="87"/>
      <c r="D20" s="74"/>
      <c r="E20" s="85"/>
      <c r="F20" s="74"/>
      <c r="G20" s="85"/>
      <c r="H20" s="89"/>
      <c r="I20" s="90"/>
      <c r="J20" s="91" t="s">
        <v>1</v>
      </c>
      <c r="K20" s="5" t="s">
        <v>260</v>
      </c>
      <c r="L20" s="25" t="s">
        <v>1</v>
      </c>
    </row>
    <row r="21" spans="1:14" ht="15.75" customHeight="1" x14ac:dyDescent="0.2">
      <c r="A21" s="85"/>
      <c r="B21" s="86" t="s">
        <v>1</v>
      </c>
      <c r="C21" s="87"/>
      <c r="D21" s="74"/>
      <c r="E21" s="85"/>
      <c r="F21" s="74"/>
      <c r="G21" s="85"/>
      <c r="H21" s="89"/>
      <c r="I21" s="90"/>
      <c r="J21" s="91" t="s">
        <v>1</v>
      </c>
      <c r="K21" s="5" t="s">
        <v>260</v>
      </c>
      <c r="L21" s="25" t="s">
        <v>1</v>
      </c>
    </row>
    <row r="22" spans="1:14" ht="15.75" customHeight="1" x14ac:dyDescent="0.2">
      <c r="A22" s="85"/>
      <c r="B22" s="86" t="s">
        <v>1</v>
      </c>
      <c r="C22" s="87"/>
      <c r="D22" s="74"/>
      <c r="E22" s="85"/>
      <c r="F22" s="74"/>
      <c r="G22" s="85"/>
      <c r="H22" s="89"/>
      <c r="I22" s="90"/>
      <c r="J22" s="91" t="s">
        <v>1</v>
      </c>
      <c r="K22" s="5" t="s">
        <v>260</v>
      </c>
      <c r="L22" s="25" t="s">
        <v>1</v>
      </c>
    </row>
    <row r="23" spans="1:14" ht="15.75" customHeight="1" x14ac:dyDescent="0.2">
      <c r="A23" s="85"/>
      <c r="B23" s="86" t="s">
        <v>1</v>
      </c>
      <c r="C23" s="87"/>
      <c r="D23" s="74"/>
      <c r="E23" s="85"/>
      <c r="F23" s="74"/>
      <c r="G23" s="85"/>
      <c r="H23" s="89"/>
      <c r="I23" s="90"/>
      <c r="J23" s="91" t="s">
        <v>1</v>
      </c>
      <c r="K23" s="5" t="s">
        <v>260</v>
      </c>
      <c r="L23" s="25" t="s">
        <v>1</v>
      </c>
    </row>
    <row r="24" spans="1:14" ht="15.75" customHeight="1" x14ac:dyDescent="0.2">
      <c r="A24" s="85"/>
      <c r="B24" s="86" t="s">
        <v>1</v>
      </c>
      <c r="C24" s="87"/>
      <c r="D24" s="74"/>
      <c r="E24" s="85"/>
      <c r="F24" s="74"/>
      <c r="G24" s="85"/>
      <c r="H24" s="89"/>
      <c r="I24" s="90"/>
      <c r="J24" s="91" t="s">
        <v>1</v>
      </c>
      <c r="K24" s="5" t="s">
        <v>260</v>
      </c>
      <c r="L24" s="25" t="s">
        <v>1</v>
      </c>
    </row>
    <row r="25" spans="1:14" ht="15.75" customHeight="1" x14ac:dyDescent="0.2">
      <c r="A25" s="85"/>
      <c r="B25" s="86" t="s">
        <v>1</v>
      </c>
      <c r="C25" s="87"/>
      <c r="D25" s="74"/>
      <c r="E25" s="85"/>
      <c r="F25" s="74"/>
      <c r="G25" s="85"/>
      <c r="H25" s="89"/>
      <c r="I25" s="90"/>
      <c r="J25" s="91" t="s">
        <v>1</v>
      </c>
      <c r="K25" s="5" t="s">
        <v>260</v>
      </c>
      <c r="L25" s="25" t="s">
        <v>1</v>
      </c>
    </row>
    <row r="26" spans="1:14" ht="15.75" customHeight="1" x14ac:dyDescent="0.2">
      <c r="A26" s="85"/>
      <c r="B26" s="86" t="s">
        <v>1</v>
      </c>
      <c r="C26" s="87"/>
      <c r="D26" s="74"/>
      <c r="E26" s="85"/>
      <c r="F26" s="74"/>
      <c r="G26" s="85"/>
      <c r="H26" s="89"/>
      <c r="I26" s="90"/>
      <c r="J26" s="91" t="s">
        <v>1</v>
      </c>
      <c r="K26" s="5" t="s">
        <v>260</v>
      </c>
      <c r="L26" s="25" t="s">
        <v>1</v>
      </c>
    </row>
    <row r="27" spans="1:14" ht="15.75" customHeight="1" x14ac:dyDescent="0.2">
      <c r="A27" s="85"/>
      <c r="B27" s="86" t="s">
        <v>1</v>
      </c>
      <c r="C27" s="87"/>
      <c r="D27" s="74"/>
      <c r="E27" s="85"/>
      <c r="F27" s="74"/>
      <c r="G27" s="85"/>
      <c r="H27" s="89"/>
      <c r="I27" s="90"/>
      <c r="J27" s="91" t="s">
        <v>1</v>
      </c>
      <c r="K27" s="5" t="s">
        <v>260</v>
      </c>
      <c r="L27" s="25" t="s">
        <v>1</v>
      </c>
    </row>
    <row r="28" spans="1:14" ht="15.75" customHeight="1" x14ac:dyDescent="0.2">
      <c r="A28" s="85"/>
      <c r="B28" s="86" t="s">
        <v>1</v>
      </c>
      <c r="C28" s="87"/>
      <c r="D28" s="74"/>
      <c r="E28" s="85"/>
      <c r="F28" s="74"/>
      <c r="G28" s="85"/>
      <c r="H28" s="89"/>
      <c r="I28" s="90"/>
      <c r="J28" s="91" t="s">
        <v>1</v>
      </c>
      <c r="K28" s="5" t="s">
        <v>260</v>
      </c>
      <c r="L28" s="25" t="s">
        <v>1</v>
      </c>
    </row>
    <row r="29" spans="1:14" x14ac:dyDescent="0.25">
      <c r="A29" s="92" t="s">
        <v>33</v>
      </c>
      <c r="B29" s="86" t="s">
        <v>1</v>
      </c>
      <c r="C29" s="87"/>
      <c r="D29" s="88"/>
      <c r="E29" s="85"/>
      <c r="F29" s="74"/>
      <c r="G29" s="85"/>
      <c r="H29" s="93"/>
      <c r="I29" s="94"/>
      <c r="J29" s="91" t="s">
        <v>1</v>
      </c>
      <c r="K29" s="5" t="s">
        <v>260</v>
      </c>
      <c r="L29" s="25" t="s">
        <v>1</v>
      </c>
    </row>
    <row r="30" spans="1:14" ht="15" x14ac:dyDescent="0.2">
      <c r="E30" s="1"/>
      <c r="F30" s="1"/>
      <c r="G30" s="1"/>
      <c r="H30" s="1"/>
    </row>
    <row r="31" spans="1:14" ht="23.25" x14ac:dyDescent="0.35">
      <c r="A31" s="114" t="s">
        <v>230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6"/>
    </row>
    <row r="32" spans="1:14" ht="30.75" customHeight="1" x14ac:dyDescent="0.2">
      <c r="A32" s="27" t="s">
        <v>34</v>
      </c>
      <c r="B32" s="97" t="s">
        <v>35</v>
      </c>
      <c r="C32" s="8" t="s">
        <v>36</v>
      </c>
      <c r="D32" s="8" t="s">
        <v>37</v>
      </c>
      <c r="E32" s="10" t="s">
        <v>38</v>
      </c>
      <c r="F32" s="10" t="s">
        <v>39</v>
      </c>
      <c r="G32" s="10" t="s">
        <v>40</v>
      </c>
      <c r="H32" s="36" t="s">
        <v>41</v>
      </c>
      <c r="I32" s="10" t="s">
        <v>42</v>
      </c>
      <c r="J32" s="8" t="s">
        <v>43</v>
      </c>
      <c r="K32" s="45" t="s">
        <v>44</v>
      </c>
      <c r="L32" s="72" t="s">
        <v>232</v>
      </c>
    </row>
    <row r="33" spans="1:14" ht="15" x14ac:dyDescent="0.2">
      <c r="A33" s="28" t="str">
        <f>IF(A19&lt;&gt;"",A19,"")</f>
        <v/>
      </c>
      <c r="B33" s="16"/>
      <c r="C33" s="24"/>
      <c r="D33" s="7"/>
      <c r="E33" s="7"/>
      <c r="F33" s="7"/>
      <c r="G33" s="9" t="str">
        <f t="shared" ref="G33:G43" si="0">IF(AND(E33&gt;0),E33/SUM(E33:F33),"")</f>
        <v/>
      </c>
      <c r="H33" s="7" t="str">
        <f t="shared" ref="H33:H43" si="1">IF(E33&lt;&gt;"",E33*5,"")</f>
        <v/>
      </c>
      <c r="I33" s="26" t="str">
        <f>IFERROR(IF(K33="Round Up",H19/VLOOKUP(B33,Lists!$A$67:$D$76,4,FALSE)/ROUNDUP(H33,-2),IF(K33="Round Down",H19/VLOOKUP(B33,Lists!$A$67:$D$76,4,FALSE)/ROUNDDOWN(H33,-2),H19/VLOOKUP(B33,Lists!$A$67:$D$76,4,FALSE)/H33)),"")</f>
        <v/>
      </c>
      <c r="J33" s="26" t="str">
        <f>IFERROR(VLOOKUP(B33,Lists!$A$67:$B$76,2,FALSE)-I33,"")</f>
        <v/>
      </c>
      <c r="K33" s="29"/>
      <c r="L33" s="73" t="e">
        <f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f>
        <v>#VALUE!</v>
      </c>
      <c r="N33" s="1"/>
    </row>
    <row r="34" spans="1:14" ht="15" x14ac:dyDescent="0.2">
      <c r="A34" s="28" t="str">
        <f t="shared" ref="A34:A41" si="2">IF(A20&lt;&gt;"",A20,"")</f>
        <v/>
      </c>
      <c r="B34" s="16"/>
      <c r="C34" s="7"/>
      <c r="D34" s="7"/>
      <c r="E34" s="7"/>
      <c r="F34" s="7"/>
      <c r="G34" s="9" t="str">
        <f t="shared" si="0"/>
        <v/>
      </c>
      <c r="H34" s="7" t="str">
        <f t="shared" si="1"/>
        <v/>
      </c>
      <c r="I34" s="26" t="str">
        <f>IFERROR(IF(K34="Round Up",H20/VLOOKUP(B34,Lists!$A$67:$D$76,4,FALSE)/ROUNDUP(H34,-2),IF(K34="Round Down",H20/VLOOKUP(B34,Lists!$A$67:$D$76,4,FALSE)/ROUNDDOWN(H34,-2),H20/VLOOKUP(B34,Lists!$A$67:$D$76,4,FALSE)/H34)),"")</f>
        <v/>
      </c>
      <c r="J34" s="26" t="str">
        <f>IFERROR(VLOOKUP(B34,Lists!$A$67:$B$76,2,FALSE)-I34,"")</f>
        <v/>
      </c>
      <c r="K34" s="29"/>
      <c r="L34" s="73" t="e">
        <f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f>
        <v>#VALUE!</v>
      </c>
      <c r="N34" s="1"/>
    </row>
    <row r="35" spans="1:14" ht="15" x14ac:dyDescent="0.2">
      <c r="A35" s="28" t="str">
        <f t="shared" si="2"/>
        <v/>
      </c>
      <c r="B35" s="16"/>
      <c r="C35" s="7"/>
      <c r="D35" s="7"/>
      <c r="E35" s="7"/>
      <c r="F35" s="7"/>
      <c r="G35" s="9" t="str">
        <f t="shared" si="0"/>
        <v/>
      </c>
      <c r="H35" s="7" t="str">
        <f t="shared" si="1"/>
        <v/>
      </c>
      <c r="I35" s="26" t="str">
        <f>IFERROR(IF(K35="Round Up",H21/VLOOKUP(B35,Lists!$A$67:$D$76,4,FALSE)/ROUNDUP(H35,-2),IF(K35="Round Down",H21/VLOOKUP(B35,Lists!$A$67:$D$76,4,FALSE)/ROUNDDOWN(H35,-2),H21/VLOOKUP(B35,Lists!$A$67:$D$76,4,FALSE)/H35)),"")</f>
        <v/>
      </c>
      <c r="J35" s="26" t="str">
        <f>IFERROR(VLOOKUP(B35,Lists!$A$67:$B$76,2,FALSE)-I35,"")</f>
        <v/>
      </c>
      <c r="K35" s="29"/>
      <c r="L35" s="73" t="e">
        <f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f>
        <v>#VALUE!</v>
      </c>
      <c r="N35" s="1"/>
    </row>
    <row r="36" spans="1:14" ht="15" x14ac:dyDescent="0.2">
      <c r="A36" s="28" t="str">
        <f t="shared" si="2"/>
        <v/>
      </c>
      <c r="B36" s="16"/>
      <c r="C36" s="7"/>
      <c r="D36" s="7"/>
      <c r="E36" s="7"/>
      <c r="F36" s="7"/>
      <c r="G36" s="9" t="str">
        <f t="shared" si="0"/>
        <v/>
      </c>
      <c r="H36" s="7" t="str">
        <f t="shared" si="1"/>
        <v/>
      </c>
      <c r="I36" s="26" t="str">
        <f>IFERROR(IF(K36="Round Up",H22/VLOOKUP(B36,Lists!$A$67:$D$76,4,FALSE)/ROUNDUP(H36,-2),IF(K36="Round Down",H22/VLOOKUP(B36,Lists!$A$67:$D$76,4,FALSE)/ROUNDDOWN(H36,-2),H22/VLOOKUP(B36,Lists!$A$67:$D$76,4,FALSE)/H36)),"")</f>
        <v/>
      </c>
      <c r="J36" s="26" t="str">
        <f>IFERROR(VLOOKUP(B36,Lists!$A$67:$B$76,2,FALSE)-I36,"")</f>
        <v/>
      </c>
      <c r="K36" s="29"/>
      <c r="L36" s="73" t="e">
        <f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f>
        <v>#VALUE!</v>
      </c>
      <c r="N36" s="1"/>
    </row>
    <row r="37" spans="1:14" ht="15" x14ac:dyDescent="0.2">
      <c r="A37" s="28" t="str">
        <f t="shared" si="2"/>
        <v/>
      </c>
      <c r="B37" s="16"/>
      <c r="C37" s="7"/>
      <c r="D37" s="7"/>
      <c r="E37" s="7"/>
      <c r="F37" s="7"/>
      <c r="G37" s="9" t="str">
        <f t="shared" si="0"/>
        <v/>
      </c>
      <c r="H37" s="7" t="str">
        <f t="shared" si="1"/>
        <v/>
      </c>
      <c r="I37" s="26" t="str">
        <f>IFERROR(IF(K37="Round Up",H23/VLOOKUP(B37,Lists!$A$67:$D$76,4,FALSE)/ROUNDUP(H37,-2),IF(K37="Round Down",H23/VLOOKUP(B37,Lists!$A$67:$D$76,4,FALSE)/ROUNDDOWN(H37,-2),H23/VLOOKUP(B37,Lists!$A$67:$D$76,4,FALSE)/H37)),"")</f>
        <v/>
      </c>
      <c r="J37" s="26" t="str">
        <f>IFERROR(VLOOKUP(B37,Lists!$A$67:$B$76,2,FALSE)-I37,"")</f>
        <v/>
      </c>
      <c r="K37" s="29"/>
      <c r="L37" s="73" t="e">
        <f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f>
        <v>#VALUE!</v>
      </c>
      <c r="N37" s="1"/>
    </row>
    <row r="38" spans="1:14" ht="15" x14ac:dyDescent="0.2">
      <c r="A38" s="28" t="str">
        <f t="shared" si="2"/>
        <v/>
      </c>
      <c r="B38" s="16"/>
      <c r="C38" s="7"/>
      <c r="D38" s="7"/>
      <c r="E38" s="7"/>
      <c r="F38" s="7"/>
      <c r="G38" s="9" t="str">
        <f t="shared" si="0"/>
        <v/>
      </c>
      <c r="H38" s="7" t="str">
        <f t="shared" si="1"/>
        <v/>
      </c>
      <c r="I38" s="26" t="str">
        <f>IFERROR(IF(K38="Round Up",H24/VLOOKUP(B38,Lists!$A$67:$D$76,4,FALSE)/ROUNDUP(H38,-2),IF(K38="Round Down",H24/VLOOKUP(B38,Lists!$A$67:$D$76,4,FALSE)/ROUNDDOWN(H38,-2),H24/VLOOKUP(B38,Lists!$A$67:$D$76,4,FALSE)/H38)),"")</f>
        <v/>
      </c>
      <c r="J38" s="26" t="str">
        <f>IFERROR(VLOOKUP(B38,Lists!$A$67:$B$76,2,FALSE)-I38,"")</f>
        <v/>
      </c>
      <c r="K38" s="29"/>
      <c r="L38" s="73" t="e">
        <f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f>
        <v>#VALUE!</v>
      </c>
    </row>
    <row r="39" spans="1:14" ht="15" x14ac:dyDescent="0.2">
      <c r="A39" s="28" t="str">
        <f t="shared" si="2"/>
        <v/>
      </c>
      <c r="B39" s="16"/>
      <c r="C39" s="7"/>
      <c r="D39" s="7"/>
      <c r="E39" s="7"/>
      <c r="F39" s="7"/>
      <c r="G39" s="9" t="str">
        <f t="shared" si="0"/>
        <v/>
      </c>
      <c r="H39" s="7" t="str">
        <f t="shared" si="1"/>
        <v/>
      </c>
      <c r="I39" s="26" t="str">
        <f>IFERROR(IF(K39="Round Up",H25/VLOOKUP(B39,Lists!$A$67:$D$76,4,FALSE)/ROUNDUP(H39,-2),IF(K39="Round Down",H25/VLOOKUP(B39,Lists!$A$67:$D$76,4,FALSE)/ROUNDDOWN(H39,-2),H25/VLOOKUP(B39,Lists!$A$67:$D$76,4,FALSE)/H39)),"")</f>
        <v/>
      </c>
      <c r="J39" s="26" t="str">
        <f>IFERROR(VLOOKUP(B39,Lists!$A$67:$B$76,2,FALSE)-I39,"")</f>
        <v/>
      </c>
      <c r="K39" s="29"/>
      <c r="L39" s="73" t="e">
        <f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f>
        <v>#VALUE!</v>
      </c>
    </row>
    <row r="40" spans="1:14" ht="15" x14ac:dyDescent="0.2">
      <c r="A40" s="28" t="str">
        <f t="shared" si="2"/>
        <v/>
      </c>
      <c r="B40" s="16"/>
      <c r="C40" s="7"/>
      <c r="D40" s="7"/>
      <c r="E40" s="7"/>
      <c r="F40" s="7"/>
      <c r="G40" s="9" t="str">
        <f t="shared" si="0"/>
        <v/>
      </c>
      <c r="H40" s="7" t="str">
        <f t="shared" si="1"/>
        <v/>
      </c>
      <c r="I40" s="26" t="str">
        <f>IFERROR(IF(K40="Round Up",H26/VLOOKUP(B40,Lists!$A$67:$D$76,4,FALSE)/ROUNDUP(H40,-2),IF(K40="Round Down",H26/VLOOKUP(B40,Lists!$A$67:$D$76,4,FALSE)/ROUNDDOWN(H40,-2),H26/VLOOKUP(B40,Lists!$A$67:$D$76,4,FALSE)/H40)),"")</f>
        <v/>
      </c>
      <c r="J40" s="26" t="str">
        <f>IFERROR(VLOOKUP(B40,Lists!$A$67:$B$76,2,FALSE)-I40,"")</f>
        <v/>
      </c>
      <c r="K40" s="29"/>
      <c r="L40" s="73" t="e">
        <f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f>
        <v>#VALUE!</v>
      </c>
    </row>
    <row r="41" spans="1:14" ht="15" x14ac:dyDescent="0.2">
      <c r="A41" s="30" t="str">
        <f t="shared" si="2"/>
        <v/>
      </c>
      <c r="B41" s="16"/>
      <c r="C41" s="24"/>
      <c r="D41" s="24"/>
      <c r="E41" s="7"/>
      <c r="F41" s="24"/>
      <c r="G41" s="31" t="str">
        <f>IF(AND(E41&gt;0),E41/SUM(E41:F41),"")</f>
        <v/>
      </c>
      <c r="H41" s="24" t="str">
        <f>IF(E41&lt;&gt;"",E41*5,"")</f>
        <v/>
      </c>
      <c r="I41" s="26" t="str">
        <f>IFERROR(IF(K41="Round Up",H27/VLOOKUP(B41,Lists!$A$67:$D$76,4,FALSE)/ROUNDUP(H41,-2),IF(K41="Round Down",H27/VLOOKUP(B41,Lists!$A$67:$D$76,4,FALSE)/ROUNDDOWN(H41,-2),H27/VLOOKUP(B41,Lists!$A$67:$D$76,4,FALSE)/H41)),"")</f>
        <v/>
      </c>
      <c r="J41" s="26" t="str">
        <f>IFERROR(VLOOKUP(B41,Lists!$A$67:$B$76,2,FALSE)-I41,"")</f>
        <v/>
      </c>
      <c r="K41" s="29"/>
      <c r="L41" s="73" t="e">
        <f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f>
        <v>#VALUE!</v>
      </c>
    </row>
    <row r="42" spans="1:14" ht="15" x14ac:dyDescent="0.2">
      <c r="A42" s="30" t="str">
        <f>IF(A28&lt;&gt;"",A28,"")</f>
        <v/>
      </c>
      <c r="B42" s="16"/>
      <c r="C42" s="24"/>
      <c r="D42" s="24"/>
      <c r="E42" s="24"/>
      <c r="F42" s="24"/>
      <c r="G42" s="31" t="str">
        <f>IF(AND(E42&gt;0),E42/SUM(E42:F42),"")</f>
        <v/>
      </c>
      <c r="H42" s="24" t="str">
        <f>IF(E42&lt;&gt;"",E42*5,"")</f>
        <v/>
      </c>
      <c r="I42" s="26" t="str">
        <f>IFERROR(IF(K42="Round Up",H28/VLOOKUP(B42,Lists!$A$67:$D$76,4,FALSE)/ROUNDUP(H42,-2),IF(K42="Round Down",H28/VLOOKUP(B42,Lists!$A$67:$D$76,4,FALSE)/ROUNDDOWN(H42,-2),H28/VLOOKUP(B42,Lists!$A$67:$D$76,4,FALSE)/H42)),"")</f>
        <v/>
      </c>
      <c r="J42" s="26" t="str">
        <f>IFERROR(VLOOKUP(B42,Lists!$A$67:$B$76,2,FALSE)-I42,"")</f>
        <v/>
      </c>
      <c r="K42" s="29"/>
      <c r="L42" s="73" t="e">
        <f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f>
        <v>#VALUE!</v>
      </c>
    </row>
    <row r="43" spans="1:14" ht="15" x14ac:dyDescent="0.2">
      <c r="A43" s="28" t="str">
        <f>IF(A29&lt;&gt;"",A29,"")</f>
        <v>Add_Lines_Here_Only</v>
      </c>
      <c r="B43" s="16"/>
      <c r="C43" s="7"/>
      <c r="D43" s="7"/>
      <c r="E43" s="7"/>
      <c r="F43" s="7"/>
      <c r="G43" s="9" t="str">
        <f t="shared" si="0"/>
        <v/>
      </c>
      <c r="H43" s="7" t="str">
        <f t="shared" si="1"/>
        <v/>
      </c>
      <c r="I43" s="26" t="str">
        <f>IFERROR(IF(K43="Round Up",H29/VLOOKUP(B43,Lists!$A$67:$D$76,4,FALSE)/ROUNDUP(H43,-2),IF(K43="Round Down",H29/VLOOKUP(B43,Lists!$A$67:$D$76,4,FALSE)/ROUNDDOWN(H43,-2),H29/VLOOKUP(B43,Lists!$A$67:$D$76,4,FALSE)/H43)),"")</f>
        <v/>
      </c>
      <c r="J43" s="26" t="str">
        <f>IFERROR(VLOOKUP(B43,Lists!$A$67:$B$76,2,FALSE)-I43,"")</f>
        <v/>
      </c>
      <c r="K43" s="29"/>
      <c r="L43" s="73" t="e">
        <f>IF(OR(Table1[[#This Row],[Single Cell Kit Type]]="5'GEX v2.0",Table1[[#This Row],[Single Cell Kit Type]]="3' GEX v3.1",Table1[[#This Row],[Single Cell Kit Type]]="3' Cell-Plexing v3.1"),Table1[[#This Row],[Sample Loading Vol (ul)]]*Table1[[#This Row],[PMGC Count: (cells/ul) or (nuclei/ul)]]*0.6,Table1[[#This Row],[Sample Loading Vol (ul)]]*Table1[[#This Row],[PMGC Count: (cells/ul) or (nuclei/ul)]]*0.689)</f>
        <v>#VALUE!</v>
      </c>
    </row>
    <row r="44" spans="1:14" ht="15" x14ac:dyDescent="0.2">
      <c r="A44" s="54"/>
      <c r="B44" s="54"/>
      <c r="C44" s="54"/>
      <c r="D44" s="54"/>
      <c r="E44" s="56"/>
      <c r="G44" s="1"/>
      <c r="H44" s="1"/>
    </row>
    <row r="45" spans="1:14" ht="15.75" customHeight="1" x14ac:dyDescent="0.25">
      <c r="A45" s="54"/>
      <c r="B45" s="54"/>
      <c r="C45" s="54"/>
      <c r="D45" s="54"/>
      <c r="E45" s="54"/>
      <c r="F45" s="14" t="str">
        <f>IF(OR(SUM(Lists!$A$45:$C$45)=1,SUM(Lists!$A$45:$C$45)=4,SUM(Lists!$A$45:$C$45)=6,SUM(Lists!$A$45:$C$45)=9),"3' workflows",IF(OR(SUM(Lists!$A$45:$C$45)=8,SUM(Lists!$A$45:$C$45)=3),"5' workflows",IF(OR(SUM(Lists!$A$45:$C$45)=5),"5' workflow","3' workflow")))</f>
        <v>3' workflow</v>
      </c>
      <c r="I45" s="14" t="str">
        <f>IF(OR(SUM(Lists!$A$45:$C$45)=1,SUM(Lists!$A$45:$C$45)=4,SUM(Lists!$A$45:$C$45)=6,SUM(Lists!$A$45:$C$45)=9),"3' workflows",IF(OR(SUM(Lists!$A$45:$C$45)=8,SUM(Lists!$A$45:$C$45)=3),"5' workflows",IF(OR(SUM(Lists!$A$45:$C$45)=5),"5' workflow","3' workflow")))</f>
        <v>3' workflow</v>
      </c>
      <c r="L45" s="22"/>
    </row>
    <row r="46" spans="1:14" ht="15.75" customHeight="1" x14ac:dyDescent="0.25">
      <c r="A46" s="54"/>
      <c r="B46" s="54"/>
      <c r="C46" s="54"/>
      <c r="D46" s="54"/>
      <c r="E46" s="55"/>
      <c r="F46" s="14" t="s">
        <v>45</v>
      </c>
      <c r="G46" s="14" t="s">
        <v>46</v>
      </c>
      <c r="I46" s="14" t="s">
        <v>45</v>
      </c>
      <c r="J46" s="14" t="s">
        <v>46</v>
      </c>
      <c r="K46" s="14" t="s">
        <v>261</v>
      </c>
    </row>
    <row r="47" spans="1:14" ht="15.75" customHeight="1" x14ac:dyDescent="0.25">
      <c r="A47" s="54"/>
      <c r="B47" s="54"/>
      <c r="C47" s="54"/>
      <c r="D47" s="54"/>
      <c r="E47" s="55"/>
      <c r="F47" s="14" t="str">
        <f>IF(OR(SUM(Lists!$A$45:$C$45)=1,SUM(Lists!$A$45:$C$45)=4,SUM(Lists!$A$45:$C$45)=6,SUM(Lists!$A$45:$C$45)=9),"RT Reagent E",IF(OR(SUM(Lists!$A$45:$C$45)=8,SUM(Lists!$A$45:$C$45)=3),"RT Reagent B",IF(OR(SUM(Lists!$A$45:$C$45)=5),"RT Reagent E","RT Reagent B")))</f>
        <v>RT Reagent B</v>
      </c>
      <c r="G47" s="14"/>
      <c r="H47" s="13"/>
      <c r="I47" s="14" t="s">
        <v>47</v>
      </c>
      <c r="J47" s="14"/>
      <c r="K47" s="14" t="s">
        <v>262</v>
      </c>
    </row>
    <row r="48" spans="1:14" ht="15.75" customHeight="1" x14ac:dyDescent="0.25">
      <c r="A48" s="54"/>
      <c r="B48" s="54"/>
      <c r="C48" s="54"/>
      <c r="D48" s="54"/>
      <c r="E48" s="55"/>
      <c r="F48" s="14" t="str">
        <f>IF(OR(SUM(Lists!$A$45:$C$45)=1,SUM(Lists!$A$45:$C$45)=4,SUM(Lists!$A$45:$C$45)=6,SUM(Lists!$A$45:$C$45)=9),"Template Switch Oligo B",IF(OR(SUM(Lists!$A$45:$C$45)=8,SUM(Lists!$A$45:$C$45)=3),"Poly-dt RT Primer",IF(OR(SUM(Lists!$A$45:$C$45)=5),"Poly-dt RT Primer B","Template Switch Oligo")))</f>
        <v>Template Switch Oligo</v>
      </c>
      <c r="G48" s="14"/>
      <c r="H48" s="13"/>
      <c r="I48" s="14" t="s">
        <v>48</v>
      </c>
      <c r="J48" s="14"/>
      <c r="K48" s="14" t="s">
        <v>263</v>
      </c>
    </row>
    <row r="49" spans="1:11" ht="15.75" customHeight="1" x14ac:dyDescent="0.25">
      <c r="A49" s="54"/>
      <c r="B49" s="54"/>
      <c r="C49" s="54"/>
      <c r="D49" s="54"/>
      <c r="E49" s="55"/>
      <c r="F49" s="14" t="str">
        <f>IF(OR(SUM(Lists!$A$45:$C$45)=1,SUM(Lists!$A$45:$C$45)=4,SUM(Lists!$A$45:$C$45)=6,SUM(Lists!$A$45:$C$45)=9),"Reducing Agent B",IF(OR(SUM(Lists!$A$45:$C$45)=8,SUM(Lists!$A$45:$C$45)=3),"Reducing Agent B",IF(OR(SUM(Lists!$A$45:$C$45)=5),"Reducing Agent B","Reducing Agent B")))</f>
        <v>Reducing Agent B</v>
      </c>
      <c r="G49" s="14"/>
      <c r="H49" s="13"/>
      <c r="I49" s="14" t="s">
        <v>49</v>
      </c>
      <c r="J49" s="14"/>
      <c r="K49" s="14" t="s">
        <v>264</v>
      </c>
    </row>
    <row r="50" spans="1:11" ht="15.75" customHeight="1" x14ac:dyDescent="0.25">
      <c r="A50" s="54"/>
      <c r="B50" s="54"/>
      <c r="C50" s="54"/>
      <c r="D50" s="54"/>
      <c r="E50" s="55"/>
      <c r="F50" s="14" t="str">
        <f>IF(OR(SUM(Lists!$A$45:$C$45)=1,SUM(Lists!$A$45:$C$45)=4,SUM(Lists!$A$45:$C$45)=6,SUM(Lists!$A$45:$C$45)=9),"RT Enzyme E",IF(OR(SUM(Lists!$A$45:$C$45)=8,SUM(Lists!$A$45:$C$45)=3),"RT Enzyme C",IF(OR(SUM(Lists!$A$45:$C$45)=5),"RT Enzyme E","RT Enzyme C")))</f>
        <v>RT Enzyme C</v>
      </c>
      <c r="G50" s="14"/>
      <c r="H50" s="13"/>
      <c r="I50" s="14" t="s">
        <v>50</v>
      </c>
      <c r="J50" s="14"/>
    </row>
    <row r="51" spans="1:11" ht="15.75" customHeight="1" x14ac:dyDescent="0.25">
      <c r="A51" s="54"/>
      <c r="B51" s="54"/>
      <c r="C51" s="54"/>
      <c r="D51" s="54"/>
      <c r="E51" s="54"/>
      <c r="F51" s="14"/>
      <c r="H51" s="13"/>
    </row>
    <row r="52" spans="1:11" ht="15.75" customHeight="1" x14ac:dyDescent="0.25">
      <c r="B52" s="54"/>
      <c r="C52" s="55"/>
      <c r="D52" s="55"/>
      <c r="E52" s="55"/>
      <c r="F52" s="14"/>
      <c r="H52" s="13"/>
      <c r="I52" s="14" t="str">
        <f>IF(OR(SUM(Lists!$A$45:$C$45)=4,SUM(Lists!$A$45:$C$45)=9),"5' workflows",IF(OR(SUM(Lists!$A$45:$C$45)=8,SUM(Lists!$A$45:$C$45)=6),"ATAC workflows",""))</f>
        <v/>
      </c>
    </row>
    <row r="53" spans="1:11" ht="15.75" customHeight="1" x14ac:dyDescent="0.25">
      <c r="A53" s="14" t="str">
        <f>IF($A$83=TRUE,"Cell Plexing Section - Initial QC"," ")</f>
        <v xml:space="preserve"> </v>
      </c>
      <c r="E53" s="14"/>
      <c r="F53" s="14" t="str">
        <f>IF(OR(SUM(Lists!$A$45:$C$45)=4,SUM(Lists!$A$45:$C$45)=9,SUM(Lists!$A$45:$C$45)=8,SUM(Lists!$A$45:$C$45)=6),"Reagent",IF(OR(SUM(Lists!$A$45:$C$45)=5),"",""))</f>
        <v/>
      </c>
      <c r="G53" s="14" t="str">
        <f>IF(OR(SUM(Lists!$A$45:$C$45)=4,SUM(Lists!$A$45:$C$45)=9,SUM(Lists!$A$45:$C$45)=8,SUM(Lists!$A$45:$C$45)=6),"Lot Numbers",IF(OR(SUM(Lists!$A$45:$C$45)=5),"",""))</f>
        <v/>
      </c>
      <c r="H53" s="13"/>
      <c r="I53" s="14" t="str">
        <f>IF(OR(SUM(Lists!$A$45:$C$45)=4,SUM(Lists!$A$45:$C$45)=9,SUM(Lists!$A$45:$C$45)=8,SUM(Lists!$A$45:$C$45)=6),"Reagent",IF(OR(SUM(Lists!$A$45:$C$45)=5),"",""))</f>
        <v/>
      </c>
      <c r="J53" s="14" t="str">
        <f>IF(OR(SUM(Lists!$A$45:$C$45)=4,SUM(Lists!$A$45:$C$45)=9,SUM(Lists!$A$45:$C$45)=8,SUM(Lists!$A$45:$C$45)=6),"Lot Numbers",IF(OR(SUM(Lists!$A$45:$C$45)=5),"",""))</f>
        <v/>
      </c>
    </row>
    <row r="54" spans="1:11" ht="15.75" customHeight="1" x14ac:dyDescent="0.25">
      <c r="A54" s="14" t="str">
        <f>IF($A$83=TRUE,"Sample Name"," ")</f>
        <v xml:space="preserve"> </v>
      </c>
      <c r="B54" s="14" t="str">
        <f>IF($A$83=TRUE,"Live"," ")</f>
        <v xml:space="preserve"> </v>
      </c>
      <c r="C54" s="14" t="str">
        <f>IF($A$83=TRUE,"Dead"," ")</f>
        <v xml:space="preserve"> </v>
      </c>
      <c r="D54" s="14" t="str">
        <f>IF($A$83=TRUE,"Sample Viability"," ")</f>
        <v xml:space="preserve"> </v>
      </c>
      <c r="E54" s="14" t="str">
        <f>IF($A$83=TRUE,"PMGC Count"," ")</f>
        <v xml:space="preserve"> </v>
      </c>
      <c r="F54" s="14" t="str">
        <f>IF(OR(SUM(Lists!$A$45:$C$45)=4,SUM(Lists!$A$45:$C$45)=9),"RT Reagent B",IF(OR(SUM(Lists!$A$45:$C$45)=8,SUM(Lists!$A$45:$C$45)=6),"ATAC Buffer B",""))</f>
        <v/>
      </c>
      <c r="I54" s="14" t="str">
        <f>IF(OR(SUM(Lists!$A$45:$C$45)=4,SUM(Lists!$A$45:$C$45)=9,SUM(Lists!$A$45:$C$45)=8,SUM(Lists!$A$45:$C$45)=6),"GEM Beads","")</f>
        <v/>
      </c>
    </row>
    <row r="55" spans="1:11" ht="15.75" customHeight="1" x14ac:dyDescent="0.25">
      <c r="A55" t="str">
        <f t="shared" ref="A55:A62" si="3">IF($A$83=TRUE,A33,"")</f>
        <v/>
      </c>
      <c r="D55" s="23" t="str">
        <f t="shared" ref="D55:D62" si="4">IF(AND(B55&gt;0),B55/SUM(B55:C55),"")</f>
        <v/>
      </c>
      <c r="E55" t="str">
        <f t="shared" ref="E55:E62" si="5">IF(B55&lt;&gt;"",B55*5,"")</f>
        <v/>
      </c>
      <c r="F55" s="14" t="str">
        <f>IF(OR(SUM(Lists!$A$45:$C$45)=4,SUM(Lists!$A$45:$C$45)=9),"Poly-dt RT Primer",IF(OR(SUM(Lists!$A$45:$C$45)=8,SUM(Lists!$A$45:$C$45)=6),"ATAC Enzyme",""))</f>
        <v/>
      </c>
      <c r="I55" s="14" t="str">
        <f>IF(OR(SUM(Lists!$A$45:$C$45)=4,SUM(Lists!$A$45:$C$45)=9,SUM(Lists!$A$45:$C$45)=8,SUM(Lists!$A$45:$C$45)=6),"Chip","")</f>
        <v/>
      </c>
    </row>
    <row r="56" spans="1:11" ht="15.75" customHeight="1" x14ac:dyDescent="0.25">
      <c r="A56" t="str">
        <f t="shared" si="3"/>
        <v/>
      </c>
      <c r="D56" s="23" t="str">
        <f t="shared" si="4"/>
        <v/>
      </c>
      <c r="E56" t="str">
        <f t="shared" si="5"/>
        <v/>
      </c>
      <c r="F56" s="14" t="str">
        <f>IF(OR(SUM(Lists!$A$45:$C$45)=4,SUM(Lists!$A$45:$C$45)=9),"Reducing Agent B",IF(OR(SUM(Lists!$A$45:$C$45)=8,SUM(Lists!$A$45:$C$45)=6),"Nuclei Buffer",""))</f>
        <v/>
      </c>
      <c r="I56" s="14" t="str">
        <f>IF(OR(SUM(Lists!$A$45:$C$45)=4,SUM(Lists!$A$45:$C$45)=9,SUM(Lists!$A$45:$C$45)=8,SUM(Lists!$A$45:$C$45)=6),"Partitioning Oil","")</f>
        <v/>
      </c>
    </row>
    <row r="57" spans="1:11" ht="15.75" customHeight="1" x14ac:dyDescent="0.25">
      <c r="A57" t="str">
        <f t="shared" si="3"/>
        <v/>
      </c>
      <c r="D57" s="23" t="str">
        <f t="shared" si="4"/>
        <v/>
      </c>
      <c r="E57" t="str">
        <f t="shared" si="5"/>
        <v/>
      </c>
      <c r="F57" s="14" t="str">
        <f>IF(OR(SUM(Lists!$A$45:$C$45)=4,SUM(Lists!$A$45:$C$45)=9),"RT Enzyme C",IF(OR(SUM(Lists!$A$45:$C$45)=8,SUM(Lists!$A$45:$C$45)=6),"Reducing Reagent B",""))</f>
        <v/>
      </c>
      <c r="I57" s="14" t="str">
        <f>IF(OR(SUM(Lists!$A$45:$C$45)=4,SUM(Lists!$A$45:$C$45)=9,SUM(Lists!$A$45:$C$45)=8,SUM(Lists!$A$45:$C$45)=6),"Gasket","")</f>
        <v/>
      </c>
    </row>
    <row r="58" spans="1:11" ht="15.75" customHeight="1" x14ac:dyDescent="0.25">
      <c r="A58" t="str">
        <f t="shared" si="3"/>
        <v/>
      </c>
      <c r="D58" s="23" t="str">
        <f t="shared" si="4"/>
        <v/>
      </c>
      <c r="E58" t="str">
        <f t="shared" si="5"/>
        <v/>
      </c>
      <c r="F58" s="14" t="str">
        <f>IF(OR(SUM(Lists!$A$45:$C$45)=8,SUM(Lists!$A$45:$C$45)=6),"Barcoding Reagent B","")</f>
        <v/>
      </c>
      <c r="I58" s="5"/>
    </row>
    <row r="59" spans="1:11" ht="15.75" customHeight="1" x14ac:dyDescent="0.25">
      <c r="A59" t="str">
        <f t="shared" si="3"/>
        <v/>
      </c>
      <c r="D59" s="23" t="str">
        <f t="shared" si="4"/>
        <v/>
      </c>
      <c r="E59" t="str">
        <f t="shared" si="5"/>
        <v/>
      </c>
      <c r="F59" s="14" t="str">
        <f>IF(SUM(Lists!$A$45:$C$45)=9,"ATAC workflows",IF(OR(SUM(Lists!$A$45:$C$45)=6,SUM(Lists!$A$45:$C$45)=8),"Barcoding Enzyme",""))</f>
        <v/>
      </c>
      <c r="I59" s="14" t="str">
        <f>IF(SUM(Lists!$A$45:$C$45)=9,"ATAC workflows","")</f>
        <v/>
      </c>
    </row>
    <row r="60" spans="1:11" ht="15.75" customHeight="1" x14ac:dyDescent="0.25">
      <c r="A60" t="str">
        <f t="shared" si="3"/>
        <v/>
      </c>
      <c r="D60" s="23" t="str">
        <f t="shared" si="4"/>
        <v/>
      </c>
      <c r="E60" t="str">
        <f t="shared" si="5"/>
        <v/>
      </c>
      <c r="F60" s="14" t="str">
        <f>IF(SUM(Lists!$A$45:$C$45)=9,"Reagent","")</f>
        <v/>
      </c>
      <c r="G60" s="14" t="str">
        <f>IF(SUM(Lists!$A$45:$C$45)=9,"Lot Numbers","")</f>
        <v/>
      </c>
      <c r="I60" s="14" t="str">
        <f>IF(SUM(Lists!$A$45:$C$45)=9,"Reagent","")</f>
        <v/>
      </c>
      <c r="J60" s="14" t="str">
        <f>IF(SUM(Lists!$A$45:$C$45)=9,"Lot Numbers","")</f>
        <v/>
      </c>
    </row>
    <row r="61" spans="1:11" ht="15.75" customHeight="1" x14ac:dyDescent="0.25">
      <c r="A61" t="str">
        <f t="shared" si="3"/>
        <v/>
      </c>
      <c r="D61" s="23" t="str">
        <f t="shared" si="4"/>
        <v/>
      </c>
      <c r="E61" t="str">
        <f t="shared" si="5"/>
        <v/>
      </c>
      <c r="F61" s="14" t="str">
        <f>IF(SUM(Lists!$A$45:$C$45)=9,"ATAC Buffer B","")</f>
        <v/>
      </c>
      <c r="I61" s="14" t="str">
        <f>IF(SUM(Lists!$A$45:$C$45)=9,"GEM Beads","")</f>
        <v/>
      </c>
    </row>
    <row r="62" spans="1:11" ht="15.75" customHeight="1" x14ac:dyDescent="0.25">
      <c r="A62" t="str">
        <f t="shared" si="3"/>
        <v/>
      </c>
      <c r="D62" s="23" t="str">
        <f t="shared" si="4"/>
        <v/>
      </c>
      <c r="E62" t="str">
        <f t="shared" si="5"/>
        <v/>
      </c>
      <c r="F62" s="14" t="str">
        <f>IF(SUM(Lists!$A$45:$C$45)=9,"ATAC Enzyme","")</f>
        <v/>
      </c>
      <c r="I62" s="14" t="str">
        <f>IF(SUM(Lists!$A$45:$C$45)=9,"Chip","")</f>
        <v/>
      </c>
    </row>
    <row r="63" spans="1:11" ht="15.75" customHeight="1" x14ac:dyDescent="0.25">
      <c r="F63" s="14" t="str">
        <f>IF(SUM(Lists!$A$45:$C$45)=9,"Nuclei Buffer","")</f>
        <v/>
      </c>
      <c r="I63" s="14" t="str">
        <f>IF(SUM(Lists!$A$45:$C$45)=9,"Partitioning oil","")</f>
        <v/>
      </c>
    </row>
    <row r="64" spans="1:11" ht="15.75" customHeight="1" x14ac:dyDescent="0.25">
      <c r="F64" s="14" t="str">
        <f>IF(SUM(Lists!$A$45:$C$45)=9,"Reducing Reagent B","")</f>
        <v/>
      </c>
      <c r="I64" s="14" t="str">
        <f>IF(SUM(Lists!$A$45:$C$45)=9,"Gasket","")</f>
        <v/>
      </c>
    </row>
    <row r="65" spans="1:6" ht="15.75" customHeight="1" x14ac:dyDescent="0.25">
      <c r="A65" s="14" t="str">
        <f>IF($A$83=TRUE,"Cell Plexing Section - Post Oligo Washing"," ")</f>
        <v xml:space="preserve"> </v>
      </c>
      <c r="F65" s="14" t="str">
        <f>IF(SUM(Lists!$A$45:$C$45)=9,"Barcoding Reagent B","")</f>
        <v/>
      </c>
    </row>
    <row r="66" spans="1:6" ht="15.75" customHeight="1" x14ac:dyDescent="0.25">
      <c r="A66" s="14" t="str">
        <f>IF($A$83=TRUE,"Sample Name"," ")</f>
        <v xml:space="preserve"> </v>
      </c>
      <c r="B66" s="14" t="str">
        <f>IF($A$83=TRUE,"CMO ID"," ")</f>
        <v xml:space="preserve"> </v>
      </c>
      <c r="C66" s="14" t="str">
        <f>IF($A$83=TRUE,"ul to Pool"," ")</f>
        <v xml:space="preserve"> </v>
      </c>
      <c r="D66" s="14" t="str">
        <f>IF($A$83=TRUE,"Pool Name"," ")</f>
        <v xml:space="preserve"> </v>
      </c>
      <c r="F66" s="14" t="str">
        <f>IF(SUM(Lists!$A$45:$C$45)=9,"Barcoding Enzyme","")</f>
        <v/>
      </c>
    </row>
    <row r="67" spans="1:6" ht="15.75" customHeight="1" x14ac:dyDescent="0.2">
      <c r="A67" t="str">
        <f t="shared" ref="A67:A74" si="6">IF($A$83=TRUE,A33,"")</f>
        <v/>
      </c>
      <c r="B67" s="12"/>
    </row>
    <row r="68" spans="1:6" ht="15.75" customHeight="1" x14ac:dyDescent="0.2">
      <c r="A68" t="str">
        <f t="shared" si="6"/>
        <v/>
      </c>
      <c r="B68" s="12"/>
    </row>
    <row r="69" spans="1:6" ht="15.75" customHeight="1" x14ac:dyDescent="0.2">
      <c r="A69" t="str">
        <f t="shared" si="6"/>
        <v/>
      </c>
      <c r="B69" s="12"/>
    </row>
    <row r="70" spans="1:6" ht="15.75" customHeight="1" x14ac:dyDescent="0.2">
      <c r="A70" t="str">
        <f t="shared" si="6"/>
        <v/>
      </c>
      <c r="B70" s="12"/>
    </row>
    <row r="71" spans="1:6" ht="15.75" customHeight="1" x14ac:dyDescent="0.25">
      <c r="A71" t="str">
        <f t="shared" si="6"/>
        <v/>
      </c>
      <c r="B71" s="12"/>
      <c r="C71" s="14"/>
    </row>
    <row r="72" spans="1:6" ht="15.75" customHeight="1" x14ac:dyDescent="0.25">
      <c r="A72" t="str">
        <f t="shared" si="6"/>
        <v/>
      </c>
      <c r="B72" s="12"/>
      <c r="C72" s="14"/>
    </row>
    <row r="73" spans="1:6" ht="15.75" customHeight="1" x14ac:dyDescent="0.2">
      <c r="A73" t="str">
        <f t="shared" si="6"/>
        <v/>
      </c>
      <c r="B73" s="12"/>
    </row>
    <row r="74" spans="1:6" ht="15.75" customHeight="1" x14ac:dyDescent="0.2">
      <c r="A74" t="str">
        <f t="shared" si="6"/>
        <v/>
      </c>
      <c r="B74" s="12"/>
    </row>
    <row r="83" spans="1:1" ht="15.75" customHeight="1" x14ac:dyDescent="0.2">
      <c r="A83" s="25" t="b">
        <f>ISNUMBER(MATCH("3' Cell-Plexing v3.1",B33:B43,0))</f>
        <v>0</v>
      </c>
    </row>
  </sheetData>
  <dataConsolidate/>
  <mergeCells count="4">
    <mergeCell ref="A31:L31"/>
    <mergeCell ref="F4:L4"/>
    <mergeCell ref="B1:E1"/>
    <mergeCell ref="F5:L12"/>
  </mergeCells>
  <conditionalFormatting sqref="A10">
    <cfRule type="expression" dxfId="110" priority="46">
      <formula>B9&lt;&gt;"Other"</formula>
    </cfRule>
  </conditionalFormatting>
  <conditionalFormatting sqref="A16">
    <cfRule type="expression" dxfId="109" priority="24">
      <formula>IF($B$14="Single Cells",TRUE,FALSE)</formula>
    </cfRule>
  </conditionalFormatting>
  <conditionalFormatting sqref="A54:E62 A66:D74">
    <cfRule type="expression" dxfId="108" priority="98">
      <formula>IF($A$83=TRUE,TRUE,FALSE)</formula>
    </cfRule>
  </conditionalFormatting>
  <conditionalFormatting sqref="B10">
    <cfRule type="expression" dxfId="107" priority="47">
      <formula>$B$9&lt;&gt;"Other"</formula>
    </cfRule>
  </conditionalFormatting>
  <conditionalFormatting sqref="B16">
    <cfRule type="expression" dxfId="106" priority="23">
      <formula>IF($B$14="Single Cells",TRUE,FALSE)</formula>
    </cfRule>
  </conditionalFormatting>
  <conditionalFormatting sqref="D14">
    <cfRule type="expression" dxfId="105" priority="22">
      <formula>IF(OR($B$14="Single Cells",$B$14="Nuclei"),TRUE,FALSE)</formula>
    </cfRule>
  </conditionalFormatting>
  <conditionalFormatting sqref="D15">
    <cfRule type="expression" dxfId="104" priority="20">
      <formula>IF($E$14="Yes",TRUE,FALSE)</formula>
    </cfRule>
  </conditionalFormatting>
  <conditionalFormatting sqref="D55:D62">
    <cfRule type="cellIs" dxfId="103" priority="33" operator="lessThanOrEqual">
      <formula>0.9</formula>
    </cfRule>
  </conditionalFormatting>
  <conditionalFormatting sqref="E14">
    <cfRule type="expression" dxfId="102" priority="11">
      <formula>IF(OR($B$14="Single Cells",$B$14="Nuclei"),TRUE,FALSE)</formula>
    </cfRule>
  </conditionalFormatting>
  <conditionalFormatting sqref="E15">
    <cfRule type="expression" dxfId="101" priority="19">
      <formula>IF($E$14="Yes",TRUE,FALSE)</formula>
    </cfRule>
  </conditionalFormatting>
  <conditionalFormatting sqref="F14">
    <cfRule type="expression" dxfId="100" priority="7">
      <formula>IF(OR(AND($B$14="Nuclei",$B$15="3' Gene Expression v3.1"),AND($B$14="Single Cells",$B$15="3' Gene Expression v3.1")),TRUE,FALSE)</formula>
    </cfRule>
  </conditionalFormatting>
  <conditionalFormatting sqref="F15:F16 D16">
    <cfRule type="expression" dxfId="99" priority="17">
      <formula>IF(OR($E$15="Hashtagging/CITE-seq: My samples have been tagged and already pooled",$D$16="CITE-seq: My samples have been tagged and require PMGC to pool",$E$15="CITE-seq: My samples have been tagged and already pooled",$E$15="CITE-seq: My samples have been tagged and already pooled",$E$15="Hashtagging/CITE-seq: My samples have been tagged and require PMGC to pool",$E$16="Hashtagging/CITE-seq: My samples have been tagged and already pooled"),TRUE,FALSE)</formula>
    </cfRule>
  </conditionalFormatting>
  <conditionalFormatting sqref="G14">
    <cfRule type="expression" dxfId="98" priority="6">
      <formula>IF(OR(AND($B$14="Nuclei",$B$15="3' Gene Expression v3.1"),AND($B$14="Single Cells",$B$15="3' Gene Expression v3.1")),TRUE,FALSE)</formula>
    </cfRule>
  </conditionalFormatting>
  <conditionalFormatting sqref="G15:G16 E16">
    <cfRule type="expression" dxfId="97" priority="16">
      <formula>IF(OR($E$15="Hashtagging/CITE-seq: My samples have been tagged and already pooled",$D$16="CITE-seq: My samples have been tagged and require PMGC to pool",$E$15="CITE-seq: My samples have been tagged and already pooled",$E$15="CITE-seq: My samples have been tagged and already pooled",$E$15="Hashtagging/CITE-seq: My samples have been tagged and require PMGC to pool",$E$16="Hashtagging/CITE-seq: My samples have been tagged and already pooled"),TRUE,FALSE)</formula>
    </cfRule>
  </conditionalFormatting>
  <conditionalFormatting sqref="G33:G43">
    <cfRule type="cellIs" dxfId="96" priority="50" operator="between">
      <formula>0.0000001</formula>
      <formula>0.8</formula>
    </cfRule>
  </conditionalFormatting>
  <conditionalFormatting sqref="H16">
    <cfRule type="expression" dxfId="95" priority="14">
      <formula>IF(OR($E$15="Hashtagging/CITE-seq: My samples have been tagged and already pooled",$D$16="CITE-seq: My samples have been tagged and require PMGC to pool",$E$15="CITE-seq: My samples have been tagged and already pooled",$E$15="CITE-seq: My samples have been tagged and already pooled",$E$15="Hashtagging/CITE-seq: My samples have been tagged and require PMGC to pool",$E$16="Hashtagging/CITE-seq: My samples have been tagged and already pooled"),TRUE,FALSE)</formula>
    </cfRule>
  </conditionalFormatting>
  <conditionalFormatting sqref="I33:I43">
    <cfRule type="cellIs" dxfId="94" priority="28" operator="greaterThan">
      <formula>2</formula>
    </cfRule>
    <cfRule type="cellIs" dxfId="93" priority="44" operator="lessThan">
      <formula>2</formula>
    </cfRule>
  </conditionalFormatting>
  <conditionalFormatting sqref="J19:J29">
    <cfRule type="containsText" dxfId="92" priority="34" operator="containsText" text="Yes">
      <formula>NOT(ISERROR(SEARCH("Yes",J19)))</formula>
    </cfRule>
  </conditionalFormatting>
  <conditionalFormatting sqref="J33:J43">
    <cfRule type="cellIs" dxfId="91" priority="27" operator="greaterThan">
      <formula>0</formula>
    </cfRule>
    <cfRule type="cellIs" dxfId="90" priority="45" operator="lessThan">
      <formula>0</formula>
    </cfRule>
  </conditionalFormatting>
  <conditionalFormatting sqref="K18">
    <cfRule type="expression" dxfId="89" priority="9">
      <formula>IF(OR($B$14="Nuclei",B$14="Single Cells"),TRUE,FALSE)</formula>
    </cfRule>
  </conditionalFormatting>
  <conditionalFormatting sqref="K19:K29">
    <cfRule type="expression" dxfId="88" priority="8">
      <formula>IF(OR($B$14="Nuclei",B$14="Single Cells"),TRUE,FALSE)</formula>
    </cfRule>
  </conditionalFormatting>
  <conditionalFormatting sqref="L18">
    <cfRule type="expression" dxfId="87" priority="4">
      <formula>IF(OR($B$14="Nuclei",B$14="Single Cells"),TRUE,FALSE)</formula>
    </cfRule>
  </conditionalFormatting>
  <conditionalFormatting sqref="L19:L29">
    <cfRule type="expression" dxfId="86" priority="5">
      <formula>IF(OR($B$14="Nuclei",B$14="Single Cells"),TRUE,FALSE)</formula>
    </cfRule>
  </conditionalFormatting>
  <conditionalFormatting sqref="L33:L43">
    <cfRule type="expression" dxfId="85" priority="1">
      <formula>IF($E$33&gt;1,TRUE,FALSE)</formula>
    </cfRule>
  </conditionalFormatting>
  <conditionalFormatting sqref="M18:N18">
    <cfRule type="expression" dxfId="84" priority="38">
      <formula>IF($B$14="Tissue",TRUE,FALSE)</formula>
    </cfRule>
  </conditionalFormatting>
  <conditionalFormatting sqref="M19:N29">
    <cfRule type="expression" dxfId="83" priority="37">
      <formula>IF($B$14="Tissue",TRUE,FALSE)</formula>
    </cfRule>
  </conditionalFormatting>
  <dataValidations count="17">
    <dataValidation type="whole" allowBlank="1" showInputMessage="1" showErrorMessage="1" sqref="H19:H29">
      <formula1>1</formula1>
      <formula2>30000</formula2>
    </dataValidation>
    <dataValidation type="list" allowBlank="1" showInputMessage="1" showErrorMessage="1" sqref="J19:J29">
      <formula1>IF($B$14="Tissue for Nuc-Seq",banana,apple)</formula1>
    </dataValidation>
    <dataValidation type="list" allowBlank="1" showInputMessage="1" showErrorMessage="1" sqref="E14 G14">
      <formula1>apple</formula1>
    </dataValidation>
    <dataValidation allowBlank="1" showErrorMessage="1" promptTitle="Tissue Submissions Only" prompt="Indicate your preference for the orientation of the tissue to be sliced." sqref="N19:N29"/>
    <dataValidation allowBlank="1" showErrorMessage="1" sqref="D33:D43"/>
    <dataValidation type="decimal" operator="lessThanOrEqual" allowBlank="1" showErrorMessage="1" errorTitle="Viability Too Low" error="Viability is less than 90% initial concentration. Do not proceed with cell multiplexing." sqref="D55:D62">
      <formula1>90</formula1>
    </dataValidation>
    <dataValidation type="custom" allowBlank="1" showInputMessage="1" showErrorMessage="1" errorTitle="Character Limit Reached!" error="Bioinformatics piplines cannot process samples with long names or special characters. Please remove spaces and special characters from text (Max Character Limit: 25)" sqref="A19:A29">
      <formula1>AND(ISNUMBER(SUMPRODUCT(SEARCH(MID(A19,ROW(INDIRECT("1:"&amp;LEN(A19))),1),"0123456789abcdefghijklmnopqrstuvwxyzABCDEFGHIJKLMNOPQRSTUVWXYZ-_"))),LEN(A19)&lt;25)</formula1>
    </dataValidation>
    <dataValidation type="list" allowBlank="1" showInputMessage="1" showErrorMessage="1" sqref="E16">
      <formula1>IF(OR($B$15="3' Gene Expression v3.1",$B$15="3' Gene Expression v4.0"),CiteSeq3pr,CiteSeq5pr)</formula1>
    </dataValidation>
    <dataValidation type="list" allowBlank="1" showInputMessage="1" showErrorMessage="1" sqref="G15">
      <formula1>HTCiteseqOptions</formula1>
    </dataValidation>
    <dataValidation allowBlank="1" showInputMessage="1" showErrorMessage="1" promptTitle="How many reads per cell/nuclei?" prompt="Standard sequencing at PMGC is 50,000 reads per cell or nuclei." sqref="I19:I29"/>
    <dataValidation allowBlank="1" showErrorMessage="1" promptTitle="On-going Project or New Project?" prompt="_x000a_For any new project, 10X Genomics recommends using the latest Cell Ranger Pipeline version for general improvements and bug fixes. _x000a__x000a_For on-going projects, we will continue with the same version to a previous submission to PMGC 10X Fresh Cell Team." sqref="E5"/>
    <dataValidation allowBlank="1" showInputMessage="1" showErrorMessage="1" sqref="E19:E29 M19:M29 G19:G29 C33:C43"/>
    <dataValidation allowBlank="1" showInputMessage="1" showErrorMessage="1" promptTitle="Please remain available up to 1hr after sample drop-off" prompt="Only used for immediate decisons to be made during PMGC sample processing if email reponse is delayed." sqref="E6"/>
    <dataValidation type="list" allowBlank="1" showInputMessage="1" showErrorMessage="1" sqref="B15">
      <formula1>New_Kits</formula1>
    </dataValidation>
    <dataValidation type="list" allowBlank="1" showInputMessage="1" showErrorMessage="1" sqref="B33:B43 N33:N37">
      <formula1>IF(OR($B$15="3' Gene Expression v3.1",$B$15="3' Gene Expression v4.0"),GEM3pr2024,GEM5pr2024)</formula1>
    </dataValidation>
    <dataValidation type="list" allowBlank="1" showInputMessage="1" showErrorMessage="1" sqref="L19:L29">
      <formula1>IF($B$15="5' Immune Profiling v2.0",ChemOptions5pr,IF($B$15="3' Gene Expression v3.1",ChemOptions3pr,IF($B$15="5' Immune Profiling v3.0",Options5pr2024,Options3pr2024)))</formula1>
    </dataValidation>
    <dataValidation allowBlank="1" showInputMessage="1" showErrorMessage="1" promptTitle="Average Turnaround Time" prompt="Results will be sent to this contact in about 4 weeks or more from the date of submission. " sqref="E10"/>
  </dataValidations>
  <pageMargins left="0.7" right="0.7" top="0.75" bottom="0.75" header="0.3" footer="0.3"/>
  <pageSetup scale="32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>
          <x14:formula1>
            <xm:f>Lists!$B$2:$B$5</xm:f>
          </x14:formula1>
          <xm:sqref>B14</xm:sqref>
        </x14:dataValidation>
        <x14:dataValidation type="list" allowBlank="1" showInputMessage="1" showErrorMessage="1">
          <x14:formula1>
            <xm:f>Lists!$A$6:$A$11</xm:f>
          </x14:formula1>
          <xm:sqref>B19:B29</xm:sqref>
        </x14:dataValidation>
        <x14:dataValidation type="list" allowBlank="1" showInputMessage="1" showErrorMessage="1">
          <x14:formula1>
            <xm:f>Lists_New!$E$3:$E$5</xm:f>
          </x14:formula1>
          <xm:sqref>E15</xm:sqref>
        </x14:dataValidation>
        <x14:dataValidation type="list" allowBlank="1" showInputMessage="1" showErrorMessage="1">
          <x14:formula1>
            <xm:f>Lists!$C$1:$C$6</xm:f>
          </x14:formula1>
          <xm:sqref>B9</xm:sqref>
        </x14:dataValidation>
        <x14:dataValidation type="list" allowBlank="1" showInputMessage="1" showErrorMessage="1">
          <x14:formula1>
            <xm:f>Lists!$A$2:$A$3</xm:f>
          </x14:formula1>
          <xm:sqref>K33:K43</xm:sqref>
        </x14:dataValidation>
        <x14:dataValidation type="list" allowBlank="1" showInputMessage="1" showErrorMessage="1">
          <x14:formula1>
            <xm:f>Lists!$K$1:$K$14</xm:f>
          </x14:formula1>
          <xm:sqref>B16</xm:sqref>
        </x14:dataValidation>
        <x14:dataValidation type="list" allowBlank="1" showInputMessage="1" showErrorMessage="1">
          <x14:formula1>
            <xm:f>Lists!$N$1:$N$3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workbookViewId="0">
      <selection activeCell="B5" sqref="B5"/>
    </sheetView>
  </sheetViews>
  <sheetFormatPr defaultColWidth="8.85546875" defaultRowHeight="12.75" x14ac:dyDescent="0.2"/>
  <cols>
    <col min="1" max="1" width="21.42578125" customWidth="1"/>
    <col min="2" max="2" width="24.85546875" customWidth="1"/>
    <col min="3" max="3" width="22.42578125" customWidth="1"/>
    <col min="4" max="4" width="17.85546875" customWidth="1"/>
    <col min="5" max="5" width="19.28515625" customWidth="1"/>
    <col min="6" max="6" width="23.7109375" customWidth="1"/>
  </cols>
  <sheetData>
    <row r="1" spans="1:6" ht="16.5" thickBot="1" x14ac:dyDescent="0.3">
      <c r="A1" s="41" t="s">
        <v>51</v>
      </c>
      <c r="B1" s="42" t="s">
        <v>1</v>
      </c>
    </row>
    <row r="2" spans="1:6" ht="15.75" thickBot="1" x14ac:dyDescent="0.3">
      <c r="A2" s="40" t="s">
        <v>52</v>
      </c>
      <c r="B2" s="40" t="s">
        <v>53</v>
      </c>
      <c r="C2" s="38" t="s">
        <v>54</v>
      </c>
      <c r="D2" s="38" t="s">
        <v>55</v>
      </c>
      <c r="E2" s="38" t="s">
        <v>56</v>
      </c>
      <c r="F2" s="38" t="s">
        <v>57</v>
      </c>
    </row>
    <row r="3" spans="1:6" ht="13.5" thickBot="1" x14ac:dyDescent="0.25">
      <c r="A3" s="39"/>
      <c r="B3" s="39"/>
      <c r="C3" s="39"/>
      <c r="D3" s="39"/>
      <c r="E3" s="39"/>
      <c r="F3" s="39"/>
    </row>
    <row r="4" spans="1:6" ht="13.5" thickBot="1" x14ac:dyDescent="0.25">
      <c r="A4" s="39"/>
      <c r="B4" s="39"/>
      <c r="C4" s="39"/>
      <c r="D4" s="39"/>
      <c r="E4" s="39"/>
      <c r="F4" s="39"/>
    </row>
    <row r="5" spans="1:6" ht="13.5" thickBot="1" x14ac:dyDescent="0.25">
      <c r="A5" s="39"/>
      <c r="B5" s="39"/>
      <c r="C5" s="39"/>
      <c r="D5" s="39"/>
      <c r="E5" s="39"/>
      <c r="F5" s="39"/>
    </row>
    <row r="6" spans="1:6" ht="13.5" thickBot="1" x14ac:dyDescent="0.25">
      <c r="A6" s="39"/>
      <c r="B6" s="39"/>
      <c r="C6" s="39"/>
      <c r="D6" s="39"/>
      <c r="E6" s="39"/>
      <c r="F6" s="39"/>
    </row>
    <row r="7" spans="1:6" ht="13.5" thickBot="1" x14ac:dyDescent="0.25">
      <c r="A7" s="39"/>
      <c r="B7" s="39"/>
      <c r="C7" s="39"/>
      <c r="D7" s="39"/>
      <c r="E7" s="39"/>
      <c r="F7" s="39"/>
    </row>
    <row r="8" spans="1:6" ht="13.5" thickBot="1" x14ac:dyDescent="0.25">
      <c r="A8" s="39"/>
      <c r="B8" s="39"/>
      <c r="C8" s="39"/>
      <c r="D8" s="39"/>
      <c r="E8" s="39"/>
      <c r="F8" s="39"/>
    </row>
    <row r="9" spans="1:6" ht="13.5" thickBot="1" x14ac:dyDescent="0.25">
      <c r="A9" s="39"/>
      <c r="B9" s="39"/>
      <c r="C9" s="39"/>
      <c r="D9" s="39"/>
      <c r="E9" s="39"/>
      <c r="F9" s="39"/>
    </row>
    <row r="10" spans="1:6" ht="13.5" thickBot="1" x14ac:dyDescent="0.25">
      <c r="A10" s="39"/>
      <c r="B10" s="39"/>
      <c r="C10" s="39"/>
      <c r="D10" s="39"/>
      <c r="E10" s="39"/>
      <c r="F10" s="39"/>
    </row>
    <row r="11" spans="1:6" ht="13.5" thickBot="1" x14ac:dyDescent="0.25">
      <c r="A11" s="39"/>
      <c r="B11" s="39"/>
      <c r="C11" s="39"/>
      <c r="D11" s="39"/>
      <c r="E11" s="39"/>
      <c r="F11" s="39"/>
    </row>
    <row r="12" spans="1:6" ht="13.5" thickBot="1" x14ac:dyDescent="0.25">
      <c r="A12" s="39"/>
      <c r="B12" s="39"/>
      <c r="C12" s="39"/>
      <c r="D12" s="39"/>
      <c r="E12" s="39"/>
      <c r="F12" s="39"/>
    </row>
    <row r="13" spans="1:6" ht="13.5" thickBot="1" x14ac:dyDescent="0.25">
      <c r="A13" s="39"/>
      <c r="B13" s="39"/>
      <c r="C13" s="39"/>
      <c r="D13" s="39"/>
      <c r="E13" s="39"/>
      <c r="F13" s="39"/>
    </row>
    <row r="14" spans="1:6" ht="13.5" thickBot="1" x14ac:dyDescent="0.25">
      <c r="A14" s="39"/>
      <c r="B14" s="39"/>
      <c r="C14" s="39"/>
      <c r="D14" s="39"/>
      <c r="E14" s="39"/>
      <c r="F14" s="39"/>
    </row>
    <row r="15" spans="1:6" ht="13.5" thickBot="1" x14ac:dyDescent="0.25">
      <c r="A15" s="39"/>
      <c r="B15" s="39"/>
      <c r="C15" s="39"/>
      <c r="D15" s="39"/>
      <c r="E15" s="39"/>
      <c r="F15" s="39"/>
    </row>
    <row r="16" spans="1:6" ht="13.5" thickBot="1" x14ac:dyDescent="0.25">
      <c r="A16" s="39"/>
      <c r="B16" s="39"/>
      <c r="C16" s="39"/>
      <c r="D16" s="39"/>
      <c r="E16" s="39"/>
      <c r="F16" s="39"/>
    </row>
    <row r="17" spans="1:6" ht="13.5" thickBot="1" x14ac:dyDescent="0.25">
      <c r="A17" s="39"/>
      <c r="B17" s="39"/>
      <c r="C17" s="39"/>
      <c r="D17" s="39"/>
      <c r="E17" s="39"/>
      <c r="F17" s="39"/>
    </row>
    <row r="18" spans="1:6" ht="13.5" thickBot="1" x14ac:dyDescent="0.25">
      <c r="A18" s="39"/>
      <c r="B18" s="39"/>
      <c r="C18" s="39"/>
      <c r="D18" s="39"/>
      <c r="E18" s="39"/>
      <c r="F18" s="39"/>
    </row>
    <row r="19" spans="1:6" ht="13.5" thickBot="1" x14ac:dyDescent="0.25">
      <c r="A19" s="39"/>
      <c r="B19" s="39"/>
      <c r="C19" s="39"/>
      <c r="D19" s="39"/>
      <c r="E19" s="39"/>
      <c r="F19" s="39"/>
    </row>
    <row r="20" spans="1:6" ht="13.5" thickBot="1" x14ac:dyDescent="0.25">
      <c r="A20" s="39"/>
      <c r="B20" s="39"/>
      <c r="C20" s="39"/>
      <c r="D20" s="39"/>
      <c r="E20" s="39"/>
      <c r="F20" s="39"/>
    </row>
    <row r="21" spans="1:6" ht="13.5" thickBot="1" x14ac:dyDescent="0.25">
      <c r="A21" s="39"/>
      <c r="B21" s="39"/>
      <c r="C21" s="39"/>
      <c r="D21" s="39"/>
      <c r="E21" s="39"/>
      <c r="F21" s="39"/>
    </row>
    <row r="22" spans="1:6" ht="13.5" thickBot="1" x14ac:dyDescent="0.25">
      <c r="A22" s="39"/>
      <c r="B22" s="39"/>
      <c r="C22" s="39"/>
      <c r="D22" s="39"/>
      <c r="E22" s="39"/>
      <c r="F22" s="39"/>
    </row>
    <row r="23" spans="1:6" ht="13.5" thickBot="1" x14ac:dyDescent="0.25">
      <c r="A23" s="39"/>
      <c r="B23" s="39"/>
      <c r="C23" s="39"/>
      <c r="D23" s="39"/>
      <c r="E23" s="39"/>
      <c r="F23" s="39"/>
    </row>
    <row r="24" spans="1:6" ht="13.5" thickBot="1" x14ac:dyDescent="0.25">
      <c r="A24" s="39"/>
      <c r="B24" s="39"/>
      <c r="C24" s="39"/>
      <c r="D24" s="39"/>
      <c r="E24" s="39"/>
      <c r="F24" s="39"/>
    </row>
    <row r="25" spans="1:6" ht="13.5" thickBot="1" x14ac:dyDescent="0.25">
      <c r="A25" s="39"/>
      <c r="B25" s="39"/>
      <c r="C25" s="39"/>
      <c r="D25" s="39"/>
      <c r="E25" s="39"/>
      <c r="F25" s="39"/>
    </row>
    <row r="26" spans="1:6" ht="13.5" thickBot="1" x14ac:dyDescent="0.25">
      <c r="A26" s="39"/>
      <c r="B26" s="39"/>
      <c r="C26" s="39"/>
      <c r="D26" s="39"/>
      <c r="E26" s="39"/>
      <c r="F26" s="39"/>
    </row>
    <row r="27" spans="1:6" ht="13.5" thickBot="1" x14ac:dyDescent="0.25">
      <c r="A27" s="39"/>
      <c r="B27" s="39"/>
      <c r="C27" s="39"/>
      <c r="D27" s="39"/>
      <c r="E27" s="39"/>
      <c r="F27" s="39"/>
    </row>
    <row r="28" spans="1:6" ht="13.5" thickBot="1" x14ac:dyDescent="0.25">
      <c r="A28" s="39"/>
      <c r="B28" s="39"/>
      <c r="C28" s="39"/>
      <c r="D28" s="39"/>
      <c r="E28" s="39"/>
      <c r="F28" s="39"/>
    </row>
    <row r="29" spans="1:6" ht="13.5" thickBot="1" x14ac:dyDescent="0.25">
      <c r="A29" s="39"/>
      <c r="B29" s="39"/>
      <c r="C29" s="39"/>
      <c r="D29" s="39"/>
      <c r="E29" s="39"/>
      <c r="F29" s="39"/>
    </row>
    <row r="30" spans="1:6" ht="13.5" thickBot="1" x14ac:dyDescent="0.25">
      <c r="A30" s="39"/>
      <c r="B30" s="39"/>
      <c r="C30" s="39"/>
      <c r="D30" s="39"/>
      <c r="E30" s="39"/>
      <c r="F30" s="39"/>
    </row>
    <row r="31" spans="1:6" ht="13.5" thickBot="1" x14ac:dyDescent="0.25">
      <c r="A31" s="39"/>
      <c r="B31" s="39"/>
      <c r="C31" s="39"/>
      <c r="D31" s="39"/>
      <c r="E31" s="39"/>
      <c r="F31" s="39"/>
    </row>
    <row r="32" spans="1:6" ht="13.5" thickBot="1" x14ac:dyDescent="0.25">
      <c r="A32" s="39"/>
      <c r="B32" s="39"/>
      <c r="C32" s="39"/>
      <c r="D32" s="39"/>
      <c r="E32" s="39"/>
      <c r="F32" s="39"/>
    </row>
    <row r="33" spans="1:6" ht="13.5" thickBot="1" x14ac:dyDescent="0.25">
      <c r="A33" s="39"/>
      <c r="B33" s="39"/>
      <c r="C33" s="39"/>
      <c r="D33" s="39"/>
      <c r="E33" s="39"/>
      <c r="F33" s="39"/>
    </row>
    <row r="34" spans="1:6" ht="13.5" thickBot="1" x14ac:dyDescent="0.25">
      <c r="A34" s="39"/>
      <c r="B34" s="39"/>
      <c r="C34" s="39"/>
      <c r="D34" s="39"/>
      <c r="E34" s="39"/>
      <c r="F34" s="39"/>
    </row>
    <row r="35" spans="1:6" ht="13.5" thickBot="1" x14ac:dyDescent="0.25">
      <c r="A35" s="39"/>
      <c r="B35" s="39"/>
      <c r="C35" s="39"/>
      <c r="D35" s="39"/>
      <c r="E35" s="39"/>
      <c r="F35" s="39"/>
    </row>
    <row r="36" spans="1:6" ht="13.5" thickBot="1" x14ac:dyDescent="0.25">
      <c r="A36" s="39"/>
      <c r="B36" s="39"/>
      <c r="C36" s="39"/>
      <c r="D36" s="39"/>
      <c r="E36" s="39"/>
      <c r="F36" s="39"/>
    </row>
    <row r="37" spans="1:6" ht="13.5" thickBot="1" x14ac:dyDescent="0.25">
      <c r="A37" s="39"/>
      <c r="B37" s="39"/>
      <c r="C37" s="39"/>
      <c r="D37" s="39"/>
      <c r="E37" s="39"/>
      <c r="F37" s="39"/>
    </row>
    <row r="38" spans="1:6" ht="13.5" thickBot="1" x14ac:dyDescent="0.25">
      <c r="A38" s="39"/>
      <c r="B38" s="39"/>
      <c r="C38" s="39"/>
      <c r="D38" s="39"/>
      <c r="E38" s="39"/>
      <c r="F38" s="39"/>
    </row>
    <row r="39" spans="1:6" ht="13.5" thickBot="1" x14ac:dyDescent="0.25">
      <c r="A39" s="39"/>
      <c r="B39" s="39"/>
      <c r="C39" s="39"/>
      <c r="D39" s="39"/>
      <c r="E39" s="39"/>
      <c r="F39" s="39"/>
    </row>
    <row r="40" spans="1:6" ht="13.5" thickBot="1" x14ac:dyDescent="0.25">
      <c r="A40" s="39"/>
      <c r="B40" s="39"/>
      <c r="C40" s="39"/>
      <c r="D40" s="39"/>
      <c r="E40" s="39"/>
      <c r="F40" s="39"/>
    </row>
    <row r="41" spans="1:6" ht="13.5" thickBot="1" x14ac:dyDescent="0.25">
      <c r="A41" s="39"/>
      <c r="B41" s="39"/>
      <c r="C41" s="39"/>
      <c r="D41" s="39"/>
      <c r="E41" s="39"/>
      <c r="F41" s="39"/>
    </row>
    <row r="42" spans="1:6" ht="13.5" thickBot="1" x14ac:dyDescent="0.25">
      <c r="A42" s="39"/>
      <c r="B42" s="39"/>
      <c r="C42" s="39"/>
      <c r="D42" s="39"/>
      <c r="E42" s="39"/>
      <c r="F42" s="39"/>
    </row>
    <row r="43" spans="1:6" ht="13.5" thickBot="1" x14ac:dyDescent="0.25">
      <c r="A43" s="39"/>
      <c r="B43" s="39"/>
      <c r="C43" s="39"/>
      <c r="D43" s="39"/>
      <c r="E43" s="39"/>
      <c r="F43" s="39"/>
    </row>
    <row r="44" spans="1:6" ht="13.5" thickBot="1" x14ac:dyDescent="0.25">
      <c r="A44" s="39"/>
      <c r="B44" s="39"/>
      <c r="C44" s="39"/>
      <c r="D44" s="39"/>
      <c r="E44" s="39"/>
      <c r="F44" s="39"/>
    </row>
    <row r="45" spans="1:6" ht="13.5" thickBot="1" x14ac:dyDescent="0.25">
      <c r="A45" s="39"/>
      <c r="B45" s="39"/>
      <c r="C45" s="39"/>
      <c r="D45" s="39"/>
      <c r="E45" s="39"/>
      <c r="F45" s="39"/>
    </row>
    <row r="46" spans="1:6" ht="13.5" thickBot="1" x14ac:dyDescent="0.25">
      <c r="A46" s="39"/>
      <c r="B46" s="39"/>
      <c r="C46" s="39"/>
      <c r="D46" s="39"/>
      <c r="E46" s="39"/>
      <c r="F46" s="39"/>
    </row>
    <row r="47" spans="1:6" ht="13.5" thickBot="1" x14ac:dyDescent="0.25">
      <c r="A47" s="39"/>
      <c r="B47" s="39"/>
      <c r="C47" s="39"/>
      <c r="D47" s="39"/>
      <c r="E47" s="39"/>
      <c r="F47" s="39"/>
    </row>
    <row r="48" spans="1:6" ht="13.5" thickBot="1" x14ac:dyDescent="0.25">
      <c r="A48" s="39"/>
      <c r="B48" s="39"/>
      <c r="C48" s="39"/>
      <c r="D48" s="39"/>
      <c r="E48" s="39"/>
      <c r="F48" s="39"/>
    </row>
    <row r="49" spans="1:6" ht="13.5" thickBot="1" x14ac:dyDescent="0.25">
      <c r="A49" s="39"/>
      <c r="B49" s="39"/>
      <c r="C49" s="39"/>
      <c r="D49" s="39"/>
      <c r="E49" s="39"/>
      <c r="F49" s="39"/>
    </row>
    <row r="50" spans="1:6" ht="13.5" thickBot="1" x14ac:dyDescent="0.25">
      <c r="A50" s="39"/>
      <c r="B50" s="39"/>
      <c r="C50" s="39"/>
      <c r="D50" s="39"/>
      <c r="E50" s="39"/>
      <c r="F50" s="39"/>
    </row>
    <row r="51" spans="1:6" ht="13.5" thickBot="1" x14ac:dyDescent="0.25">
      <c r="A51" s="39"/>
      <c r="B51" s="39"/>
      <c r="C51" s="39"/>
      <c r="D51" s="39"/>
      <c r="E51" s="39"/>
      <c r="F51" s="39"/>
    </row>
    <row r="52" spans="1:6" ht="13.5" thickBot="1" x14ac:dyDescent="0.25">
      <c r="A52" s="39"/>
      <c r="B52" s="39"/>
      <c r="C52" s="39"/>
      <c r="D52" s="39"/>
      <c r="E52" s="39"/>
      <c r="F52" s="39"/>
    </row>
    <row r="53" spans="1:6" ht="13.5" thickBot="1" x14ac:dyDescent="0.25">
      <c r="A53" s="39"/>
      <c r="B53" s="39"/>
      <c r="C53" s="39"/>
      <c r="D53" s="39"/>
      <c r="E53" s="39"/>
      <c r="F53" s="39"/>
    </row>
    <row r="54" spans="1:6" ht="13.5" thickBot="1" x14ac:dyDescent="0.25">
      <c r="A54" s="39"/>
      <c r="B54" s="39"/>
      <c r="C54" s="39"/>
      <c r="D54" s="39"/>
      <c r="E54" s="39"/>
      <c r="F54" s="39"/>
    </row>
    <row r="55" spans="1:6" ht="13.5" thickBot="1" x14ac:dyDescent="0.25">
      <c r="A55" s="39"/>
      <c r="B55" s="39"/>
      <c r="C55" s="39"/>
      <c r="D55" s="39"/>
      <c r="E55" s="39"/>
      <c r="F55" s="39"/>
    </row>
    <row r="56" spans="1:6" ht="13.5" thickBot="1" x14ac:dyDescent="0.25">
      <c r="A56" s="39"/>
      <c r="B56" s="39"/>
      <c r="C56" s="39"/>
      <c r="D56" s="39"/>
      <c r="E56" s="39"/>
      <c r="F56" s="39"/>
    </row>
    <row r="57" spans="1:6" ht="13.5" thickBot="1" x14ac:dyDescent="0.25">
      <c r="A57" s="39"/>
      <c r="B57" s="39"/>
      <c r="C57" s="39"/>
      <c r="D57" s="39"/>
      <c r="E57" s="39"/>
      <c r="F57" s="39"/>
    </row>
    <row r="58" spans="1:6" ht="13.5" thickBot="1" x14ac:dyDescent="0.25">
      <c r="A58" s="39"/>
      <c r="B58" s="39"/>
      <c r="C58" s="39"/>
      <c r="D58" s="39"/>
      <c r="E58" s="39"/>
      <c r="F58" s="39"/>
    </row>
    <row r="59" spans="1:6" ht="13.5" thickBot="1" x14ac:dyDescent="0.25">
      <c r="A59" s="39"/>
      <c r="B59" s="39"/>
      <c r="C59" s="39"/>
      <c r="D59" s="39"/>
      <c r="E59" s="39"/>
      <c r="F59" s="39"/>
    </row>
    <row r="60" spans="1:6" ht="13.5" thickBot="1" x14ac:dyDescent="0.25">
      <c r="A60" s="39"/>
      <c r="B60" s="39"/>
      <c r="C60" s="39"/>
      <c r="D60" s="39"/>
      <c r="E60" s="39"/>
      <c r="F60" s="39"/>
    </row>
    <row r="61" spans="1:6" ht="13.5" thickBot="1" x14ac:dyDescent="0.25">
      <c r="A61" s="39"/>
      <c r="B61" s="39"/>
      <c r="C61" s="39"/>
      <c r="D61" s="39"/>
      <c r="E61" s="39"/>
      <c r="F61" s="39"/>
    </row>
    <row r="62" spans="1:6" ht="13.5" thickBot="1" x14ac:dyDescent="0.25">
      <c r="A62" s="39"/>
      <c r="B62" s="39"/>
      <c r="C62" s="39"/>
      <c r="D62" s="39"/>
      <c r="E62" s="39"/>
      <c r="F62" s="39"/>
    </row>
    <row r="63" spans="1:6" ht="13.5" thickBot="1" x14ac:dyDescent="0.25">
      <c r="A63" s="39"/>
      <c r="B63" s="39"/>
      <c r="C63" s="39"/>
      <c r="D63" s="39"/>
      <c r="E63" s="39"/>
      <c r="F63" s="39"/>
    </row>
    <row r="64" spans="1:6" ht="13.5" thickBot="1" x14ac:dyDescent="0.25">
      <c r="A64" s="39"/>
      <c r="B64" s="39"/>
      <c r="C64" s="39"/>
      <c r="D64" s="39"/>
      <c r="E64" s="39"/>
      <c r="F64" s="39"/>
    </row>
    <row r="65" spans="1:6" ht="13.5" thickBot="1" x14ac:dyDescent="0.25">
      <c r="A65" s="39"/>
      <c r="B65" s="39"/>
      <c r="C65" s="39"/>
      <c r="D65" s="39"/>
      <c r="E65" s="39"/>
      <c r="F65" s="39"/>
    </row>
    <row r="66" spans="1:6" ht="13.5" thickBot="1" x14ac:dyDescent="0.25">
      <c r="A66" s="39"/>
      <c r="B66" s="39"/>
      <c r="C66" s="39"/>
      <c r="D66" s="39"/>
      <c r="E66" s="39"/>
      <c r="F66" s="39"/>
    </row>
    <row r="67" spans="1:6" ht="13.5" thickBot="1" x14ac:dyDescent="0.25">
      <c r="A67" s="39"/>
      <c r="B67" s="39"/>
      <c r="C67" s="39"/>
      <c r="D67" s="39"/>
      <c r="E67" s="39"/>
      <c r="F67" s="39"/>
    </row>
    <row r="68" spans="1:6" ht="13.5" thickBot="1" x14ac:dyDescent="0.25">
      <c r="A68" s="39"/>
      <c r="B68" s="39"/>
      <c r="C68" s="39"/>
      <c r="D68" s="39"/>
      <c r="E68" s="39"/>
      <c r="F68" s="39"/>
    </row>
    <row r="69" spans="1:6" ht="13.5" thickBot="1" x14ac:dyDescent="0.25">
      <c r="A69" s="39"/>
      <c r="B69" s="39"/>
      <c r="C69" s="39"/>
      <c r="D69" s="39"/>
      <c r="E69" s="39"/>
      <c r="F69" s="39"/>
    </row>
    <row r="70" spans="1:6" ht="13.5" thickBot="1" x14ac:dyDescent="0.25">
      <c r="A70" s="39"/>
      <c r="B70" s="39"/>
      <c r="C70" s="39"/>
      <c r="D70" s="39"/>
      <c r="E70" s="39"/>
      <c r="F70" s="39"/>
    </row>
    <row r="71" spans="1:6" ht="13.5" thickBot="1" x14ac:dyDescent="0.25">
      <c r="A71" s="39"/>
      <c r="B71" s="39"/>
      <c r="C71" s="39"/>
      <c r="D71" s="39"/>
      <c r="E71" s="39"/>
      <c r="F71" s="39"/>
    </row>
    <row r="72" spans="1:6" ht="13.5" thickBot="1" x14ac:dyDescent="0.25">
      <c r="A72" s="39"/>
      <c r="B72" s="39"/>
      <c r="C72" s="39"/>
      <c r="D72" s="39"/>
      <c r="E72" s="39"/>
      <c r="F72" s="39"/>
    </row>
    <row r="73" spans="1:6" ht="13.5" thickBot="1" x14ac:dyDescent="0.25">
      <c r="A73" s="39"/>
      <c r="B73" s="39"/>
      <c r="C73" s="39"/>
      <c r="D73" s="39"/>
      <c r="E73" s="39"/>
      <c r="F73" s="39"/>
    </row>
    <row r="74" spans="1:6" ht="13.5" thickBot="1" x14ac:dyDescent="0.25">
      <c r="A74" s="39"/>
      <c r="B74" s="39"/>
      <c r="C74" s="39"/>
      <c r="D74" s="39"/>
      <c r="E74" s="39"/>
      <c r="F74" s="39"/>
    </row>
    <row r="75" spans="1:6" ht="13.5" thickBot="1" x14ac:dyDescent="0.25">
      <c r="A75" s="39"/>
      <c r="B75" s="39"/>
      <c r="C75" s="39"/>
      <c r="D75" s="39"/>
      <c r="E75" s="39"/>
      <c r="F75" s="39"/>
    </row>
    <row r="76" spans="1:6" ht="13.5" thickBot="1" x14ac:dyDescent="0.25">
      <c r="A76" s="39"/>
      <c r="B76" s="39"/>
      <c r="C76" s="39"/>
      <c r="D76" s="39"/>
      <c r="E76" s="39"/>
      <c r="F76" s="39"/>
    </row>
    <row r="77" spans="1:6" ht="13.5" thickBot="1" x14ac:dyDescent="0.25">
      <c r="A77" s="39"/>
      <c r="B77" s="39"/>
      <c r="C77" s="39"/>
      <c r="D77" s="39"/>
      <c r="E77" s="39"/>
      <c r="F77" s="39"/>
    </row>
    <row r="78" spans="1:6" ht="13.5" thickBot="1" x14ac:dyDescent="0.25">
      <c r="A78" s="39"/>
      <c r="B78" s="39"/>
      <c r="C78" s="39"/>
      <c r="D78" s="39"/>
      <c r="E78" s="39"/>
      <c r="F78" s="39"/>
    </row>
    <row r="79" spans="1:6" ht="13.5" thickBot="1" x14ac:dyDescent="0.25">
      <c r="A79" s="39"/>
      <c r="B79" s="39"/>
      <c r="C79" s="39"/>
      <c r="D79" s="39"/>
      <c r="E79" s="39"/>
      <c r="F79" s="39"/>
    </row>
    <row r="80" spans="1:6" ht="13.5" thickBot="1" x14ac:dyDescent="0.25">
      <c r="A80" s="39"/>
      <c r="B80" s="39"/>
      <c r="C80" s="39"/>
      <c r="D80" s="39"/>
      <c r="E80" s="39"/>
      <c r="F80" s="39"/>
    </row>
    <row r="81" spans="1:6" ht="13.5" thickBot="1" x14ac:dyDescent="0.25">
      <c r="A81" s="39"/>
      <c r="B81" s="39"/>
      <c r="C81" s="39"/>
      <c r="D81" s="39"/>
      <c r="E81" s="39"/>
      <c r="F81" s="39"/>
    </row>
    <row r="82" spans="1:6" ht="13.5" thickBot="1" x14ac:dyDescent="0.25">
      <c r="A82" s="39"/>
      <c r="B82" s="39"/>
      <c r="C82" s="39"/>
      <c r="D82" s="39"/>
      <c r="E82" s="39"/>
      <c r="F82" s="39"/>
    </row>
    <row r="83" spans="1:6" ht="13.5" thickBot="1" x14ac:dyDescent="0.25">
      <c r="A83" s="39"/>
      <c r="B83" s="39"/>
      <c r="C83" s="39"/>
      <c r="D83" s="39"/>
      <c r="E83" s="39"/>
      <c r="F83" s="39"/>
    </row>
    <row r="84" spans="1:6" ht="13.5" thickBot="1" x14ac:dyDescent="0.25">
      <c r="A84" s="39"/>
      <c r="B84" s="39"/>
      <c r="C84" s="39"/>
      <c r="D84" s="39"/>
      <c r="E84" s="39"/>
      <c r="F84" s="39"/>
    </row>
    <row r="85" spans="1:6" ht="13.5" thickBot="1" x14ac:dyDescent="0.25">
      <c r="A85" s="39"/>
      <c r="B85" s="39"/>
      <c r="C85" s="39"/>
      <c r="D85" s="39"/>
      <c r="E85" s="39"/>
      <c r="F85" s="39"/>
    </row>
    <row r="86" spans="1:6" ht="13.5" thickBot="1" x14ac:dyDescent="0.25">
      <c r="A86" s="39"/>
      <c r="B86" s="39"/>
      <c r="C86" s="39"/>
      <c r="D86" s="39"/>
      <c r="E86" s="39"/>
      <c r="F86" s="39"/>
    </row>
    <row r="87" spans="1:6" ht="13.5" thickBot="1" x14ac:dyDescent="0.25">
      <c r="A87" s="39"/>
      <c r="B87" s="39"/>
      <c r="C87" s="39"/>
      <c r="D87" s="39"/>
      <c r="E87" s="39"/>
      <c r="F87" s="39"/>
    </row>
    <row r="88" spans="1:6" ht="13.5" thickBot="1" x14ac:dyDescent="0.25">
      <c r="A88" s="39"/>
      <c r="B88" s="39"/>
      <c r="C88" s="39"/>
      <c r="D88" s="39"/>
      <c r="E88" s="39"/>
      <c r="F88" s="39"/>
    </row>
    <row r="89" spans="1:6" ht="13.5" thickBot="1" x14ac:dyDescent="0.25">
      <c r="A89" s="39"/>
      <c r="B89" s="39"/>
      <c r="C89" s="39"/>
      <c r="D89" s="39"/>
      <c r="E89" s="39"/>
      <c r="F89" s="39"/>
    </row>
    <row r="90" spans="1:6" ht="13.5" thickBot="1" x14ac:dyDescent="0.25">
      <c r="A90" s="39"/>
      <c r="B90" s="39"/>
      <c r="C90" s="39"/>
      <c r="D90" s="39"/>
      <c r="E90" s="39"/>
      <c r="F90" s="39"/>
    </row>
    <row r="91" spans="1:6" ht="13.5" thickBot="1" x14ac:dyDescent="0.25">
      <c r="A91" s="39"/>
      <c r="B91" s="39"/>
      <c r="C91" s="39"/>
      <c r="D91" s="39"/>
      <c r="E91" s="39"/>
      <c r="F91" s="39"/>
    </row>
    <row r="92" spans="1:6" ht="13.5" thickBot="1" x14ac:dyDescent="0.25">
      <c r="A92" s="39"/>
      <c r="B92" s="39"/>
      <c r="C92" s="39"/>
      <c r="D92" s="39"/>
      <c r="E92" s="39"/>
      <c r="F92" s="39"/>
    </row>
    <row r="93" spans="1:6" ht="13.5" thickBot="1" x14ac:dyDescent="0.25">
      <c r="A93" s="39"/>
      <c r="B93" s="39"/>
      <c r="C93" s="39"/>
      <c r="D93" s="39"/>
      <c r="E93" s="39"/>
      <c r="F93" s="39"/>
    </row>
    <row r="94" spans="1:6" ht="13.5" thickBot="1" x14ac:dyDescent="0.25">
      <c r="A94" s="39"/>
      <c r="B94" s="39"/>
      <c r="C94" s="39"/>
      <c r="D94" s="39"/>
      <c r="E94" s="39"/>
      <c r="F94" s="39"/>
    </row>
    <row r="95" spans="1:6" ht="13.5" thickBot="1" x14ac:dyDescent="0.25">
      <c r="A95" s="39"/>
      <c r="B95" s="39"/>
      <c r="C95" s="39"/>
      <c r="D95" s="39"/>
      <c r="E95" s="39"/>
      <c r="F95" s="39"/>
    </row>
    <row r="96" spans="1:6" ht="13.5" thickBot="1" x14ac:dyDescent="0.25">
      <c r="A96" s="39"/>
      <c r="B96" s="39"/>
      <c r="C96" s="39"/>
      <c r="D96" s="39"/>
      <c r="E96" s="39"/>
      <c r="F96" s="39"/>
    </row>
    <row r="97" spans="1:6" ht="13.5" thickBot="1" x14ac:dyDescent="0.25">
      <c r="A97" s="39"/>
      <c r="B97" s="39"/>
      <c r="C97" s="39"/>
      <c r="D97" s="39"/>
      <c r="E97" s="39"/>
      <c r="F97" s="39"/>
    </row>
    <row r="98" spans="1:6" ht="13.5" thickBot="1" x14ac:dyDescent="0.25">
      <c r="A98" s="39"/>
      <c r="B98" s="39"/>
      <c r="C98" s="39"/>
      <c r="D98" s="39"/>
      <c r="E98" s="39"/>
      <c r="F98" s="39"/>
    </row>
    <row r="99" spans="1:6" ht="13.5" thickBot="1" x14ac:dyDescent="0.25">
      <c r="A99" s="39"/>
      <c r="B99" s="39"/>
      <c r="C99" s="39"/>
      <c r="D99" s="39"/>
      <c r="E99" s="39"/>
      <c r="F99" s="39"/>
    </row>
    <row r="100" spans="1:6" ht="13.5" thickBot="1" x14ac:dyDescent="0.25">
      <c r="A100" s="39"/>
      <c r="B100" s="39"/>
      <c r="C100" s="39"/>
      <c r="D100" s="39"/>
      <c r="E100" s="39"/>
      <c r="F100" s="39"/>
    </row>
    <row r="101" spans="1:6" ht="13.5" thickBot="1" x14ac:dyDescent="0.25">
      <c r="A101" s="39"/>
      <c r="B101" s="39"/>
      <c r="C101" s="39"/>
      <c r="D101" s="39"/>
      <c r="E101" s="39"/>
      <c r="F101" s="39"/>
    </row>
    <row r="102" spans="1:6" ht="13.5" thickBot="1" x14ac:dyDescent="0.25">
      <c r="A102" s="39"/>
      <c r="B102" s="39"/>
      <c r="C102" s="39"/>
      <c r="D102" s="39"/>
      <c r="E102" s="39"/>
      <c r="F102" s="39"/>
    </row>
    <row r="103" spans="1:6" ht="13.5" thickBot="1" x14ac:dyDescent="0.25">
      <c r="A103" s="39"/>
      <c r="B103" s="39"/>
      <c r="C103" s="39"/>
      <c r="D103" s="39"/>
      <c r="E103" s="39"/>
      <c r="F103" s="39"/>
    </row>
    <row r="104" spans="1:6" ht="13.5" thickBot="1" x14ac:dyDescent="0.25">
      <c r="A104" s="39"/>
      <c r="B104" s="39"/>
      <c r="C104" s="39"/>
      <c r="D104" s="39"/>
      <c r="E104" s="39"/>
      <c r="F104" s="39"/>
    </row>
    <row r="105" spans="1:6" ht="13.5" thickBot="1" x14ac:dyDescent="0.25">
      <c r="A105" s="39"/>
      <c r="B105" s="39"/>
      <c r="C105" s="39"/>
      <c r="D105" s="39"/>
      <c r="E105" s="39"/>
      <c r="F105" s="39"/>
    </row>
    <row r="106" spans="1:6" ht="13.5" thickBot="1" x14ac:dyDescent="0.25">
      <c r="A106" s="39"/>
      <c r="B106" s="39"/>
      <c r="C106" s="39"/>
      <c r="D106" s="39"/>
      <c r="E106" s="39"/>
      <c r="F106" s="39"/>
    </row>
    <row r="107" spans="1:6" ht="13.5" thickBot="1" x14ac:dyDescent="0.25">
      <c r="A107" s="39"/>
      <c r="B107" s="39"/>
      <c r="C107" s="39"/>
      <c r="D107" s="39"/>
      <c r="E107" s="39"/>
      <c r="F107" s="39"/>
    </row>
    <row r="108" spans="1:6" ht="13.5" thickBot="1" x14ac:dyDescent="0.25">
      <c r="A108" s="39"/>
      <c r="B108" s="39"/>
      <c r="C108" s="39"/>
      <c r="D108" s="39"/>
      <c r="E108" s="39"/>
      <c r="F108" s="39"/>
    </row>
    <row r="109" spans="1:6" ht="13.5" thickBot="1" x14ac:dyDescent="0.25">
      <c r="A109" s="39"/>
      <c r="B109" s="39"/>
      <c r="C109" s="39"/>
      <c r="D109" s="39"/>
      <c r="E109" s="39"/>
      <c r="F109" s="39"/>
    </row>
    <row r="110" spans="1:6" ht="13.5" thickBot="1" x14ac:dyDescent="0.25">
      <c r="A110" s="39"/>
      <c r="B110" s="39"/>
      <c r="C110" s="39"/>
      <c r="D110" s="39"/>
      <c r="E110" s="39"/>
      <c r="F110" s="39"/>
    </row>
    <row r="111" spans="1:6" ht="13.5" thickBot="1" x14ac:dyDescent="0.25">
      <c r="A111" s="39"/>
      <c r="B111" s="39"/>
      <c r="C111" s="39"/>
      <c r="D111" s="39"/>
      <c r="E111" s="39"/>
      <c r="F111" s="39"/>
    </row>
    <row r="112" spans="1:6" ht="13.5" thickBot="1" x14ac:dyDescent="0.25">
      <c r="A112" s="39"/>
      <c r="B112" s="39"/>
      <c r="C112" s="39"/>
      <c r="D112" s="39"/>
      <c r="E112" s="39"/>
      <c r="F112" s="39"/>
    </row>
    <row r="113" spans="1:6" ht="13.5" thickBot="1" x14ac:dyDescent="0.25">
      <c r="A113" s="39"/>
      <c r="B113" s="39"/>
      <c r="C113" s="39"/>
      <c r="D113" s="39"/>
      <c r="E113" s="39"/>
      <c r="F113" s="39"/>
    </row>
    <row r="114" spans="1:6" ht="13.5" thickBot="1" x14ac:dyDescent="0.25">
      <c r="A114" s="39"/>
      <c r="B114" s="39"/>
      <c r="C114" s="39"/>
      <c r="D114" s="39"/>
      <c r="E114" s="39"/>
      <c r="F114" s="39"/>
    </row>
    <row r="115" spans="1:6" ht="13.5" thickBot="1" x14ac:dyDescent="0.25">
      <c r="A115" s="39"/>
      <c r="B115" s="39"/>
      <c r="C115" s="39"/>
      <c r="D115" s="39"/>
      <c r="E115" s="39"/>
      <c r="F115" s="39"/>
    </row>
    <row r="116" spans="1:6" ht="13.5" thickBot="1" x14ac:dyDescent="0.25">
      <c r="A116" s="39"/>
      <c r="B116" s="39"/>
      <c r="C116" s="39"/>
      <c r="D116" s="39"/>
      <c r="E116" s="39"/>
      <c r="F116" s="39"/>
    </row>
    <row r="117" spans="1:6" ht="13.5" thickBot="1" x14ac:dyDescent="0.25">
      <c r="A117" s="39"/>
      <c r="B117" s="39"/>
      <c r="C117" s="39"/>
      <c r="D117" s="39"/>
      <c r="E117" s="39"/>
      <c r="F117" s="39"/>
    </row>
    <row r="118" spans="1:6" ht="13.5" thickBot="1" x14ac:dyDescent="0.25">
      <c r="A118" s="39"/>
      <c r="B118" s="39"/>
      <c r="C118" s="39"/>
      <c r="D118" s="39"/>
      <c r="E118" s="39"/>
      <c r="F118" s="39"/>
    </row>
    <row r="119" spans="1:6" ht="13.5" thickBot="1" x14ac:dyDescent="0.25">
      <c r="A119" s="39"/>
      <c r="B119" s="39"/>
      <c r="C119" s="39"/>
      <c r="D119" s="39"/>
      <c r="E119" s="39"/>
      <c r="F119" s="39"/>
    </row>
    <row r="120" spans="1:6" ht="13.5" thickBot="1" x14ac:dyDescent="0.25">
      <c r="A120" s="39"/>
      <c r="B120" s="39"/>
      <c r="C120" s="39"/>
      <c r="D120" s="39"/>
      <c r="E120" s="39"/>
      <c r="F120" s="39"/>
    </row>
    <row r="121" spans="1:6" ht="13.5" thickBot="1" x14ac:dyDescent="0.25">
      <c r="A121" s="39"/>
      <c r="B121" s="39"/>
      <c r="C121" s="39"/>
      <c r="D121" s="39"/>
      <c r="E121" s="39"/>
      <c r="F121" s="39"/>
    </row>
    <row r="122" spans="1:6" ht="13.5" thickBot="1" x14ac:dyDescent="0.25">
      <c r="A122" s="39"/>
      <c r="B122" s="39"/>
      <c r="C122" s="39"/>
      <c r="D122" s="39"/>
      <c r="E122" s="39"/>
      <c r="F122" s="39"/>
    </row>
    <row r="123" spans="1:6" ht="13.5" thickBot="1" x14ac:dyDescent="0.25">
      <c r="A123" s="39"/>
      <c r="B123" s="39"/>
      <c r="C123" s="39"/>
      <c r="D123" s="39"/>
      <c r="E123" s="39"/>
      <c r="F123" s="39"/>
    </row>
    <row r="124" spans="1:6" ht="13.5" thickBot="1" x14ac:dyDescent="0.25">
      <c r="A124" s="39"/>
      <c r="B124" s="39"/>
      <c r="C124" s="39"/>
      <c r="D124" s="39"/>
      <c r="E124" s="39"/>
      <c r="F124" s="39"/>
    </row>
    <row r="125" spans="1:6" ht="13.5" thickBot="1" x14ac:dyDescent="0.25">
      <c r="A125" s="39"/>
      <c r="B125" s="39"/>
      <c r="C125" s="39"/>
      <c r="D125" s="39"/>
      <c r="E125" s="39"/>
      <c r="F125" s="39"/>
    </row>
    <row r="126" spans="1:6" ht="13.5" thickBot="1" x14ac:dyDescent="0.25">
      <c r="A126" s="39"/>
      <c r="B126" s="39"/>
      <c r="C126" s="39"/>
      <c r="D126" s="39"/>
      <c r="E126" s="39"/>
      <c r="F126" s="39"/>
    </row>
    <row r="127" spans="1:6" ht="13.5" thickBot="1" x14ac:dyDescent="0.25">
      <c r="A127" s="39"/>
      <c r="B127" s="39"/>
      <c r="C127" s="39"/>
      <c r="D127" s="39"/>
      <c r="E127" s="39"/>
      <c r="F127" s="39"/>
    </row>
    <row r="128" spans="1:6" ht="13.5" thickBot="1" x14ac:dyDescent="0.25">
      <c r="A128" s="39"/>
      <c r="B128" s="39"/>
      <c r="C128" s="39"/>
      <c r="D128" s="39"/>
      <c r="E128" s="39"/>
      <c r="F128" s="39"/>
    </row>
    <row r="129" spans="1:6" ht="13.5" thickBot="1" x14ac:dyDescent="0.25">
      <c r="A129" s="39"/>
      <c r="B129" s="39"/>
      <c r="C129" s="39"/>
      <c r="D129" s="39"/>
      <c r="E129" s="39"/>
      <c r="F129" s="39"/>
    </row>
    <row r="130" spans="1:6" ht="13.5" thickBot="1" x14ac:dyDescent="0.25">
      <c r="A130" s="39"/>
      <c r="B130" s="39"/>
      <c r="C130" s="39"/>
      <c r="D130" s="39"/>
      <c r="E130" s="39"/>
      <c r="F130" s="39"/>
    </row>
    <row r="131" spans="1:6" ht="13.5" thickBot="1" x14ac:dyDescent="0.25">
      <c r="A131" s="39"/>
      <c r="B131" s="39"/>
      <c r="C131" s="39"/>
      <c r="D131" s="39"/>
      <c r="E131" s="39"/>
      <c r="F131" s="39"/>
    </row>
    <row r="132" spans="1:6" ht="13.5" thickBot="1" x14ac:dyDescent="0.25">
      <c r="A132" s="39"/>
      <c r="B132" s="39"/>
      <c r="C132" s="39"/>
      <c r="D132" s="39"/>
      <c r="E132" s="39"/>
      <c r="F132" s="39"/>
    </row>
    <row r="133" spans="1:6" ht="13.5" thickBot="1" x14ac:dyDescent="0.25">
      <c r="A133" s="39"/>
      <c r="B133" s="39"/>
      <c r="C133" s="39"/>
      <c r="D133" s="39"/>
      <c r="E133" s="39"/>
      <c r="F133" s="39"/>
    </row>
    <row r="134" spans="1:6" ht="13.5" thickBot="1" x14ac:dyDescent="0.25">
      <c r="A134" s="39"/>
      <c r="B134" s="39"/>
      <c r="C134" s="39"/>
      <c r="D134" s="39"/>
      <c r="E134" s="39"/>
      <c r="F134" s="39"/>
    </row>
    <row r="135" spans="1:6" ht="13.5" thickBot="1" x14ac:dyDescent="0.25">
      <c r="A135" s="39"/>
      <c r="B135" s="39"/>
      <c r="C135" s="39"/>
      <c r="D135" s="39"/>
      <c r="E135" s="39"/>
      <c r="F135" s="39"/>
    </row>
    <row r="136" spans="1:6" ht="13.5" thickBot="1" x14ac:dyDescent="0.25">
      <c r="A136" s="39"/>
      <c r="B136" s="39"/>
      <c r="C136" s="39"/>
      <c r="D136" s="39"/>
      <c r="E136" s="39"/>
      <c r="F136" s="39"/>
    </row>
    <row r="137" spans="1:6" ht="13.5" thickBot="1" x14ac:dyDescent="0.25">
      <c r="A137" s="39"/>
      <c r="B137" s="39"/>
      <c r="C137" s="39"/>
      <c r="D137" s="39"/>
      <c r="E137" s="39"/>
      <c r="F137" s="39"/>
    </row>
    <row r="138" spans="1:6" ht="13.5" thickBot="1" x14ac:dyDescent="0.25">
      <c r="A138" s="39"/>
      <c r="B138" s="39"/>
      <c r="C138" s="39"/>
      <c r="D138" s="39"/>
      <c r="E138" s="39"/>
      <c r="F138" s="39"/>
    </row>
    <row r="139" spans="1:6" ht="13.5" thickBot="1" x14ac:dyDescent="0.25">
      <c r="A139" s="39"/>
      <c r="B139" s="39"/>
      <c r="C139" s="39"/>
      <c r="D139" s="39"/>
      <c r="E139" s="39"/>
      <c r="F139" s="39"/>
    </row>
    <row r="140" spans="1:6" ht="13.5" thickBot="1" x14ac:dyDescent="0.25">
      <c r="A140" s="39"/>
      <c r="B140" s="39"/>
      <c r="C140" s="39"/>
      <c r="D140" s="39"/>
      <c r="E140" s="39"/>
      <c r="F140" s="39"/>
    </row>
    <row r="141" spans="1:6" ht="13.5" thickBot="1" x14ac:dyDescent="0.25">
      <c r="A141" s="39"/>
      <c r="B141" s="39"/>
      <c r="C141" s="39"/>
      <c r="D141" s="39"/>
      <c r="E141" s="39"/>
      <c r="F141" s="39"/>
    </row>
    <row r="142" spans="1:6" ht="13.5" thickBot="1" x14ac:dyDescent="0.25">
      <c r="A142" s="39"/>
      <c r="B142" s="39"/>
      <c r="C142" s="39"/>
      <c r="D142" s="39"/>
      <c r="E142" s="39"/>
      <c r="F142" s="39"/>
    </row>
    <row r="143" spans="1:6" ht="13.5" thickBot="1" x14ac:dyDescent="0.25">
      <c r="A143" s="39"/>
      <c r="B143" s="39"/>
      <c r="C143" s="39"/>
      <c r="D143" s="39"/>
      <c r="E143" s="39"/>
      <c r="F143" s="39"/>
    </row>
    <row r="144" spans="1:6" ht="13.5" thickBot="1" x14ac:dyDescent="0.25">
      <c r="A144" s="39"/>
      <c r="B144" s="39"/>
      <c r="C144" s="39"/>
      <c r="D144" s="39"/>
      <c r="E144" s="39"/>
      <c r="F144" s="39"/>
    </row>
    <row r="145" spans="1:6" ht="13.5" thickBot="1" x14ac:dyDescent="0.25">
      <c r="A145" s="39"/>
      <c r="B145" s="39"/>
      <c r="C145" s="39"/>
      <c r="D145" s="39"/>
      <c r="E145" s="39"/>
      <c r="F145" s="39"/>
    </row>
    <row r="146" spans="1:6" ht="13.5" thickBot="1" x14ac:dyDescent="0.25">
      <c r="A146" s="39"/>
      <c r="B146" s="39"/>
      <c r="C146" s="39"/>
      <c r="D146" s="39"/>
      <c r="E146" s="39"/>
      <c r="F146" s="39"/>
    </row>
    <row r="147" spans="1:6" ht="13.5" thickBot="1" x14ac:dyDescent="0.25">
      <c r="A147" s="39"/>
      <c r="B147" s="39"/>
      <c r="C147" s="39"/>
      <c r="D147" s="39"/>
      <c r="E147" s="39"/>
      <c r="F147" s="39"/>
    </row>
    <row r="148" spans="1:6" ht="13.5" thickBot="1" x14ac:dyDescent="0.25">
      <c r="A148" s="39"/>
      <c r="B148" s="39"/>
      <c r="C148" s="39"/>
      <c r="D148" s="39"/>
      <c r="E148" s="39"/>
      <c r="F148" s="39"/>
    </row>
    <row r="149" spans="1:6" ht="13.5" thickBot="1" x14ac:dyDescent="0.25">
      <c r="A149" s="39"/>
      <c r="B149" s="39"/>
      <c r="C149" s="39"/>
      <c r="D149" s="39"/>
      <c r="E149" s="39"/>
      <c r="F149" s="39"/>
    </row>
    <row r="150" spans="1:6" ht="13.5" thickBot="1" x14ac:dyDescent="0.25">
      <c r="A150" s="39"/>
      <c r="B150" s="39"/>
      <c r="C150" s="39"/>
      <c r="D150" s="39"/>
      <c r="E150" s="39"/>
      <c r="F150" s="39"/>
    </row>
    <row r="151" spans="1:6" ht="13.5" thickBot="1" x14ac:dyDescent="0.25">
      <c r="A151" s="39"/>
      <c r="B151" s="39"/>
      <c r="C151" s="39"/>
      <c r="D151" s="39"/>
      <c r="E151" s="39"/>
      <c r="F151" s="39"/>
    </row>
    <row r="152" spans="1:6" ht="13.5" thickBot="1" x14ac:dyDescent="0.25">
      <c r="A152" s="39"/>
      <c r="B152" s="39"/>
      <c r="C152" s="39"/>
      <c r="D152" s="39"/>
      <c r="E152" s="39"/>
      <c r="F152" s="39"/>
    </row>
    <row r="153" spans="1:6" ht="13.5" thickBot="1" x14ac:dyDescent="0.25">
      <c r="A153" s="39"/>
      <c r="B153" s="39"/>
      <c r="C153" s="39"/>
      <c r="D153" s="39"/>
      <c r="E153" s="39"/>
      <c r="F153" s="39"/>
    </row>
    <row r="154" spans="1:6" ht="13.5" thickBot="1" x14ac:dyDescent="0.25">
      <c r="A154" s="39"/>
      <c r="B154" s="39"/>
      <c r="C154" s="39"/>
      <c r="D154" s="39"/>
      <c r="E154" s="39"/>
      <c r="F154" s="39"/>
    </row>
    <row r="155" spans="1:6" ht="13.5" thickBot="1" x14ac:dyDescent="0.25">
      <c r="A155" s="39"/>
      <c r="B155" s="39"/>
      <c r="C155" s="39"/>
      <c r="D155" s="39"/>
      <c r="E155" s="39"/>
      <c r="F155" s="39"/>
    </row>
    <row r="156" spans="1:6" ht="13.5" thickBot="1" x14ac:dyDescent="0.25">
      <c r="A156" s="39"/>
      <c r="B156" s="39"/>
      <c r="C156" s="39"/>
      <c r="D156" s="39"/>
      <c r="E156" s="39"/>
      <c r="F156" s="39"/>
    </row>
    <row r="157" spans="1:6" ht="13.5" thickBot="1" x14ac:dyDescent="0.25">
      <c r="A157" s="39"/>
      <c r="B157" s="39"/>
      <c r="C157" s="39"/>
      <c r="D157" s="39"/>
      <c r="E157" s="39"/>
      <c r="F157" s="39"/>
    </row>
    <row r="158" spans="1:6" ht="13.5" thickBot="1" x14ac:dyDescent="0.25">
      <c r="A158" s="39"/>
      <c r="B158" s="39"/>
      <c r="C158" s="39"/>
      <c r="D158" s="39"/>
      <c r="E158" s="39"/>
      <c r="F158" s="39"/>
    </row>
    <row r="159" spans="1:6" ht="13.5" thickBot="1" x14ac:dyDescent="0.25">
      <c r="A159" s="39"/>
      <c r="B159" s="39"/>
      <c r="C159" s="39"/>
      <c r="D159" s="39"/>
      <c r="E159" s="39"/>
      <c r="F159" s="39"/>
    </row>
    <row r="160" spans="1:6" ht="13.5" thickBot="1" x14ac:dyDescent="0.25">
      <c r="A160" s="39"/>
      <c r="B160" s="39"/>
      <c r="C160" s="39"/>
      <c r="D160" s="39"/>
      <c r="E160" s="39"/>
      <c r="F160" s="39"/>
    </row>
    <row r="161" spans="1:6" ht="13.5" thickBot="1" x14ac:dyDescent="0.25">
      <c r="A161" s="39"/>
      <c r="B161" s="39"/>
      <c r="C161" s="39"/>
      <c r="D161" s="39"/>
      <c r="E161" s="39"/>
      <c r="F161" s="39"/>
    </row>
    <row r="162" spans="1:6" ht="13.5" thickBot="1" x14ac:dyDescent="0.25">
      <c r="A162" s="39"/>
      <c r="B162" s="39"/>
      <c r="C162" s="39"/>
      <c r="D162" s="39"/>
      <c r="E162" s="39"/>
      <c r="F162" s="39"/>
    </row>
    <row r="163" spans="1:6" ht="13.5" thickBot="1" x14ac:dyDescent="0.25">
      <c r="A163" s="39"/>
      <c r="B163" s="39"/>
      <c r="C163" s="39"/>
      <c r="D163" s="39"/>
      <c r="E163" s="39"/>
      <c r="F163" s="39"/>
    </row>
    <row r="164" spans="1:6" ht="13.5" thickBot="1" x14ac:dyDescent="0.25">
      <c r="A164" s="39"/>
      <c r="B164" s="39"/>
      <c r="C164" s="39"/>
      <c r="D164" s="39"/>
      <c r="E164" s="39"/>
      <c r="F164" s="39"/>
    </row>
    <row r="165" spans="1:6" ht="13.5" thickBot="1" x14ac:dyDescent="0.25">
      <c r="A165" s="39"/>
      <c r="B165" s="39"/>
      <c r="C165" s="39"/>
      <c r="D165" s="39"/>
      <c r="E165" s="39"/>
      <c r="F165" s="39"/>
    </row>
    <row r="166" spans="1:6" ht="13.5" thickBot="1" x14ac:dyDescent="0.25">
      <c r="A166" s="39"/>
      <c r="B166" s="39"/>
      <c r="C166" s="39"/>
      <c r="D166" s="39"/>
      <c r="E166" s="39"/>
      <c r="F166" s="39"/>
    </row>
    <row r="167" spans="1:6" ht="13.5" thickBot="1" x14ac:dyDescent="0.25">
      <c r="A167" s="39"/>
      <c r="B167" s="39"/>
      <c r="C167" s="39"/>
      <c r="D167" s="39"/>
      <c r="E167" s="39"/>
      <c r="F167" s="39"/>
    </row>
    <row r="168" spans="1:6" ht="13.5" thickBot="1" x14ac:dyDescent="0.25">
      <c r="A168" s="39"/>
      <c r="B168" s="39"/>
      <c r="C168" s="39"/>
      <c r="D168" s="39"/>
      <c r="E168" s="39"/>
      <c r="F168" s="39"/>
    </row>
    <row r="169" spans="1:6" ht="13.5" thickBot="1" x14ac:dyDescent="0.25">
      <c r="A169" s="39"/>
      <c r="B169" s="39"/>
      <c r="C169" s="39"/>
      <c r="D169" s="39"/>
      <c r="E169" s="39"/>
      <c r="F169" s="39"/>
    </row>
    <row r="170" spans="1:6" ht="13.5" thickBot="1" x14ac:dyDescent="0.25">
      <c r="A170" s="39"/>
      <c r="B170" s="39"/>
      <c r="C170" s="39"/>
      <c r="D170" s="39"/>
      <c r="E170" s="39"/>
      <c r="F170" s="39"/>
    </row>
    <row r="171" spans="1:6" ht="13.5" thickBot="1" x14ac:dyDescent="0.25">
      <c r="A171" s="39"/>
      <c r="B171" s="39"/>
      <c r="C171" s="39"/>
      <c r="D171" s="39"/>
      <c r="E171" s="39"/>
      <c r="F171" s="39"/>
    </row>
    <row r="172" spans="1:6" ht="13.5" thickBot="1" x14ac:dyDescent="0.25">
      <c r="A172" s="39"/>
      <c r="B172" s="39"/>
      <c r="C172" s="39"/>
      <c r="D172" s="39"/>
      <c r="E172" s="39"/>
      <c r="F172" s="39"/>
    </row>
    <row r="173" spans="1:6" ht="13.5" thickBot="1" x14ac:dyDescent="0.25">
      <c r="A173" s="39"/>
      <c r="B173" s="39"/>
      <c r="C173" s="39"/>
      <c r="D173" s="39"/>
      <c r="E173" s="39"/>
      <c r="F173" s="39"/>
    </row>
    <row r="174" spans="1:6" ht="13.5" thickBot="1" x14ac:dyDescent="0.25">
      <c r="A174" s="39"/>
      <c r="B174" s="39"/>
      <c r="C174" s="39"/>
      <c r="D174" s="39"/>
      <c r="E174" s="39"/>
      <c r="F174" s="39"/>
    </row>
    <row r="175" spans="1:6" ht="13.5" thickBot="1" x14ac:dyDescent="0.25">
      <c r="A175" s="39"/>
      <c r="B175" s="39"/>
      <c r="C175" s="39"/>
      <c r="D175" s="39"/>
      <c r="E175" s="39"/>
      <c r="F175" s="39"/>
    </row>
    <row r="176" spans="1:6" ht="13.5" thickBot="1" x14ac:dyDescent="0.25">
      <c r="A176" s="39"/>
      <c r="B176" s="39"/>
      <c r="C176" s="39"/>
      <c r="D176" s="39"/>
      <c r="E176" s="39"/>
      <c r="F176" s="39"/>
    </row>
    <row r="177" spans="1:6" ht="13.5" thickBot="1" x14ac:dyDescent="0.25">
      <c r="A177" s="39"/>
      <c r="B177" s="39"/>
      <c r="C177" s="39"/>
      <c r="D177" s="39"/>
      <c r="E177" s="39"/>
      <c r="F177" s="39"/>
    </row>
    <row r="178" spans="1:6" ht="13.5" thickBot="1" x14ac:dyDescent="0.25">
      <c r="A178" s="39"/>
      <c r="B178" s="39"/>
      <c r="C178" s="39"/>
      <c r="D178" s="39"/>
      <c r="E178" s="39"/>
      <c r="F178" s="39"/>
    </row>
    <row r="179" spans="1:6" ht="13.5" thickBot="1" x14ac:dyDescent="0.25">
      <c r="A179" s="39"/>
      <c r="B179" s="39"/>
      <c r="C179" s="39"/>
      <c r="D179" s="39"/>
      <c r="E179" s="39"/>
      <c r="F179" s="39"/>
    </row>
    <row r="180" spans="1:6" ht="13.5" thickBot="1" x14ac:dyDescent="0.25">
      <c r="A180" s="39"/>
      <c r="B180" s="39"/>
      <c r="C180" s="39"/>
      <c r="D180" s="39"/>
      <c r="E180" s="39"/>
      <c r="F180" s="39"/>
    </row>
    <row r="181" spans="1:6" ht="13.5" thickBot="1" x14ac:dyDescent="0.25">
      <c r="A181" s="39"/>
      <c r="B181" s="39"/>
      <c r="C181" s="39"/>
      <c r="D181" s="39"/>
      <c r="E181" s="39"/>
      <c r="F181" s="39"/>
    </row>
    <row r="182" spans="1:6" ht="13.5" thickBot="1" x14ac:dyDescent="0.25">
      <c r="A182" s="39"/>
      <c r="B182" s="39"/>
      <c r="C182" s="39"/>
      <c r="D182" s="39"/>
      <c r="E182" s="39"/>
      <c r="F182" s="39"/>
    </row>
    <row r="183" spans="1:6" ht="13.5" thickBot="1" x14ac:dyDescent="0.25">
      <c r="A183" s="39"/>
      <c r="B183" s="39"/>
      <c r="C183" s="39"/>
      <c r="D183" s="39"/>
      <c r="E183" s="39"/>
      <c r="F183" s="39"/>
    </row>
    <row r="184" spans="1:6" ht="13.5" thickBot="1" x14ac:dyDescent="0.25">
      <c r="A184" s="39"/>
      <c r="B184" s="39"/>
      <c r="C184" s="39"/>
      <c r="D184" s="39"/>
      <c r="E184" s="39"/>
      <c r="F184" s="39"/>
    </row>
    <row r="185" spans="1:6" ht="13.5" thickBot="1" x14ac:dyDescent="0.25">
      <c r="A185" s="39"/>
      <c r="B185" s="39"/>
      <c r="C185" s="39"/>
      <c r="D185" s="39"/>
      <c r="E185" s="39"/>
      <c r="F185" s="39"/>
    </row>
    <row r="186" spans="1:6" ht="13.5" thickBot="1" x14ac:dyDescent="0.25">
      <c r="A186" s="39"/>
      <c r="B186" s="39"/>
      <c r="C186" s="39"/>
      <c r="D186" s="39"/>
      <c r="E186" s="39"/>
      <c r="F186" s="39"/>
    </row>
    <row r="187" spans="1:6" ht="13.5" thickBot="1" x14ac:dyDescent="0.25">
      <c r="A187" s="39"/>
      <c r="B187" s="39"/>
      <c r="C187" s="39"/>
      <c r="D187" s="39"/>
      <c r="E187" s="39"/>
      <c r="F187" s="39"/>
    </row>
    <row r="188" spans="1:6" ht="13.5" thickBot="1" x14ac:dyDescent="0.25">
      <c r="A188" s="39"/>
      <c r="B188" s="39"/>
      <c r="C188" s="39"/>
      <c r="D188" s="39"/>
      <c r="E188" s="39"/>
      <c r="F188" s="39"/>
    </row>
    <row r="189" spans="1:6" ht="13.5" thickBot="1" x14ac:dyDescent="0.25">
      <c r="A189" s="39"/>
      <c r="B189" s="39"/>
      <c r="C189" s="39"/>
      <c r="D189" s="39"/>
      <c r="E189" s="39"/>
      <c r="F189" s="39"/>
    </row>
    <row r="190" spans="1:6" ht="13.5" thickBot="1" x14ac:dyDescent="0.25">
      <c r="A190" s="39"/>
      <c r="B190" s="39"/>
      <c r="C190" s="39"/>
      <c r="D190" s="39"/>
      <c r="E190" s="39"/>
      <c r="F190" s="39"/>
    </row>
    <row r="191" spans="1:6" ht="13.5" thickBot="1" x14ac:dyDescent="0.25">
      <c r="A191" s="39"/>
      <c r="B191" s="39"/>
      <c r="C191" s="39"/>
      <c r="D191" s="39"/>
      <c r="E191" s="39"/>
      <c r="F191" s="39"/>
    </row>
    <row r="192" spans="1:6" ht="13.5" thickBot="1" x14ac:dyDescent="0.25">
      <c r="A192" s="39"/>
      <c r="B192" s="39"/>
      <c r="C192" s="39"/>
      <c r="D192" s="39"/>
      <c r="E192" s="39"/>
      <c r="F192" s="39"/>
    </row>
    <row r="193" spans="1:6" ht="13.5" thickBot="1" x14ac:dyDescent="0.25">
      <c r="A193" s="39"/>
      <c r="B193" s="39"/>
      <c r="C193" s="39"/>
      <c r="D193" s="39"/>
      <c r="E193" s="39"/>
      <c r="F193" s="39"/>
    </row>
    <row r="194" spans="1:6" ht="13.5" thickBot="1" x14ac:dyDescent="0.25">
      <c r="A194" s="39"/>
      <c r="B194" s="39"/>
      <c r="C194" s="39"/>
      <c r="D194" s="39"/>
      <c r="E194" s="39"/>
      <c r="F194" s="39"/>
    </row>
    <row r="195" spans="1:6" ht="13.5" thickBot="1" x14ac:dyDescent="0.25">
      <c r="A195" s="39"/>
      <c r="B195" s="39"/>
      <c r="C195" s="39"/>
      <c r="D195" s="39"/>
      <c r="E195" s="39"/>
      <c r="F195" s="39"/>
    </row>
    <row r="196" spans="1:6" ht="13.5" thickBot="1" x14ac:dyDescent="0.25">
      <c r="A196" s="39"/>
      <c r="B196" s="39"/>
      <c r="C196" s="39"/>
      <c r="D196" s="39"/>
      <c r="E196" s="39"/>
      <c r="F196" s="39"/>
    </row>
    <row r="197" spans="1:6" ht="13.5" thickBot="1" x14ac:dyDescent="0.25">
      <c r="A197" s="39"/>
      <c r="B197" s="39"/>
      <c r="C197" s="39"/>
      <c r="D197" s="39"/>
      <c r="E197" s="39"/>
      <c r="F197" s="39"/>
    </row>
    <row r="198" spans="1:6" ht="13.5" thickBot="1" x14ac:dyDescent="0.25">
      <c r="A198" s="39"/>
      <c r="B198" s="39"/>
      <c r="C198" s="39"/>
      <c r="D198" s="39"/>
      <c r="E198" s="39"/>
      <c r="F198" s="39"/>
    </row>
    <row r="199" spans="1:6" ht="13.5" thickBot="1" x14ac:dyDescent="0.25">
      <c r="A199" s="39"/>
      <c r="B199" s="39"/>
      <c r="C199" s="39"/>
      <c r="D199" s="39"/>
      <c r="E199" s="39"/>
      <c r="F199" s="39"/>
    </row>
    <row r="200" spans="1:6" ht="13.5" thickBot="1" x14ac:dyDescent="0.25">
      <c r="A200" s="39"/>
      <c r="B200" s="39"/>
      <c r="C200" s="39"/>
      <c r="D200" s="39"/>
      <c r="E200" s="39"/>
      <c r="F200" s="39"/>
    </row>
    <row r="201" spans="1:6" ht="13.5" thickBot="1" x14ac:dyDescent="0.25">
      <c r="A201" s="39"/>
      <c r="B201" s="39"/>
      <c r="C201" s="39"/>
      <c r="D201" s="39"/>
      <c r="E201" s="39"/>
      <c r="F201" s="39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Lists!$L$1:$L$4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8" sqref="A8"/>
    </sheetView>
  </sheetViews>
  <sheetFormatPr defaultColWidth="8.85546875" defaultRowHeight="12.75" x14ac:dyDescent="0.2"/>
  <cols>
    <col min="3" max="3" width="34.140625" customWidth="1"/>
    <col min="4" max="4" width="28" bestFit="1" customWidth="1"/>
    <col min="5" max="5" width="19.85546875" bestFit="1" customWidth="1"/>
    <col min="6" max="7" width="16.28515625" bestFit="1" customWidth="1"/>
    <col min="10" max="10" width="28.42578125" customWidth="1"/>
  </cols>
  <sheetData>
    <row r="1" spans="1:9" x14ac:dyDescent="0.2">
      <c r="A1" s="5" t="s">
        <v>58</v>
      </c>
      <c r="B1" s="5" t="s">
        <v>59</v>
      </c>
      <c r="C1" s="5" t="s">
        <v>60</v>
      </c>
      <c r="D1" s="5" t="s">
        <v>61</v>
      </c>
      <c r="E1" s="5" t="s">
        <v>62</v>
      </c>
      <c r="F1" t="s">
        <v>1</v>
      </c>
    </row>
    <row r="2" spans="1:9" x14ac:dyDescent="0.2">
      <c r="A2" t="s">
        <v>63</v>
      </c>
      <c r="B2" t="s">
        <v>63</v>
      </c>
      <c r="C2" t="s">
        <v>1</v>
      </c>
      <c r="D2" t="s">
        <v>64</v>
      </c>
      <c r="E2" s="5" t="s">
        <v>65</v>
      </c>
      <c r="F2" s="5" t="s">
        <v>66</v>
      </c>
      <c r="G2" s="5" t="s">
        <v>67</v>
      </c>
      <c r="I2" t="s">
        <v>68</v>
      </c>
    </row>
    <row r="3" spans="1:9" x14ac:dyDescent="0.2">
      <c r="A3" t="s">
        <v>18</v>
      </c>
      <c r="B3" t="s">
        <v>18</v>
      </c>
      <c r="C3" t="s">
        <v>64</v>
      </c>
      <c r="D3" t="s">
        <v>69</v>
      </c>
      <c r="E3" s="5" t="s">
        <v>70</v>
      </c>
      <c r="F3" s="5" t="s">
        <v>71</v>
      </c>
      <c r="G3" s="5" t="s">
        <v>72</v>
      </c>
      <c r="I3" t="s">
        <v>73</v>
      </c>
    </row>
    <row r="4" spans="1:9" x14ac:dyDescent="0.2">
      <c r="C4" t="s">
        <v>69</v>
      </c>
      <c r="D4" t="s">
        <v>74</v>
      </c>
      <c r="E4" s="5" t="s">
        <v>75</v>
      </c>
      <c r="F4" s="5" t="s">
        <v>76</v>
      </c>
      <c r="G4" s="5" t="s">
        <v>77</v>
      </c>
      <c r="H4" s="5"/>
      <c r="I4" s="5"/>
    </row>
    <row r="5" spans="1:9" x14ac:dyDescent="0.2">
      <c r="C5" t="s">
        <v>74</v>
      </c>
      <c r="E5" t="s">
        <v>1</v>
      </c>
      <c r="F5" t="s">
        <v>1</v>
      </c>
      <c r="G5" t="s">
        <v>1</v>
      </c>
      <c r="H5" s="5"/>
      <c r="I5" s="5"/>
    </row>
    <row r="6" spans="1:9" x14ac:dyDescent="0.2">
      <c r="A6" t="s">
        <v>78</v>
      </c>
      <c r="C6" s="5" t="s">
        <v>79</v>
      </c>
    </row>
    <row r="7" spans="1:9" x14ac:dyDescent="0.2">
      <c r="A7" t="s">
        <v>1</v>
      </c>
    </row>
    <row r="8" spans="1:9" x14ac:dyDescent="0.2">
      <c r="A8" t="s">
        <v>80</v>
      </c>
    </row>
    <row r="9" spans="1:9" x14ac:dyDescent="0.2">
      <c r="A9" t="s">
        <v>81</v>
      </c>
    </row>
    <row r="10" spans="1:9" x14ac:dyDescent="0.2">
      <c r="A10" t="s">
        <v>82</v>
      </c>
    </row>
    <row r="11" spans="1:9" x14ac:dyDescent="0.2">
      <c r="A11" t="s">
        <v>248</v>
      </c>
    </row>
    <row r="12" spans="1:9" x14ac:dyDescent="0.2">
      <c r="A12" t="s">
        <v>247</v>
      </c>
    </row>
    <row r="13" spans="1:9" x14ac:dyDescent="0.2">
      <c r="A13" t="s">
        <v>1</v>
      </c>
    </row>
  </sheetData>
  <dataValidations count="2">
    <dataValidation type="list" allowBlank="1" showInputMessage="1" showErrorMessage="1" sqref="J2">
      <formula1>INDIRECT($I$2)</formula1>
    </dataValidation>
    <dataValidation type="list" allowBlank="1" showInputMessage="1" showErrorMessage="1" sqref="D11:D12">
      <formula1>IF($A$6="OG",Old_Kits,New_Kits)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IF('Submission Form Entry'!$B$14="Nuc-seq",apple,banana)</xm:f>
          </x14:formula1>
          <xm:sqref>J4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"/>
  <sheetViews>
    <sheetView workbookViewId="0">
      <selection activeCell="E3" sqref="E3"/>
    </sheetView>
  </sheetViews>
  <sheetFormatPr defaultColWidth="8.85546875" defaultRowHeight="12.75" x14ac:dyDescent="0.2"/>
  <cols>
    <col min="2" max="2" width="24.140625" customWidth="1"/>
    <col min="3" max="3" width="19.28515625" bestFit="1" customWidth="1"/>
    <col min="4" max="4" width="11.7109375" bestFit="1" customWidth="1"/>
    <col min="5" max="5" width="14.28515625" customWidth="1"/>
    <col min="6" max="6" width="13.28515625" customWidth="1"/>
    <col min="7" max="7" width="2.28515625" customWidth="1"/>
  </cols>
  <sheetData>
    <row r="1" spans="1:7" x14ac:dyDescent="0.2">
      <c r="A1" t="str">
        <f>TRIM(RIGHT(SUBSTITUTE('Submission Form Entry'!$B$7," ",REPT(" ",50)),50))&amp;"_"&amp;TRIM(LEFT(SUBSTITUTE('Submission Form Entry'!$B$5," ",REPT(" ",50)),50))&amp;"_"&amp;TEXT('Submission Form Entry'!B4,"yy.mm.dd")</f>
        <v>__00.01.00</v>
      </c>
    </row>
    <row r="3" spans="1:7" ht="28.5" customHeight="1" x14ac:dyDescent="0.2">
      <c r="A3" s="17" t="s">
        <v>83</v>
      </c>
      <c r="B3" s="17" t="s">
        <v>34</v>
      </c>
      <c r="C3" s="17" t="s">
        <v>35</v>
      </c>
      <c r="D3" s="18" t="s">
        <v>84</v>
      </c>
      <c r="E3" s="18" t="s">
        <v>85</v>
      </c>
      <c r="F3" s="18" t="s">
        <v>86</v>
      </c>
    </row>
    <row r="4" spans="1:7" x14ac:dyDescent="0.2">
      <c r="A4" s="19" t="str">
        <f>IF(B4&lt;&gt;"",1,"")</f>
        <v/>
      </c>
      <c r="B4" s="19" t="str">
        <f>IF('Submission Form Entry'!A19="","",'Submission Form Entry'!A19)</f>
        <v/>
      </c>
      <c r="C4" s="19" t="str">
        <f>IF($B$4="","",'Submission Form Entry'!B33)</f>
        <v/>
      </c>
      <c r="D4" s="19" t="str">
        <f>IF($B$4="","",'Submission Form Entry'!H33)</f>
        <v/>
      </c>
      <c r="E4" s="20" t="str">
        <f>IF($B$4="","",'Submission Form Entry'!I33)</f>
        <v/>
      </c>
      <c r="F4" s="20" t="str">
        <f>IF($B$4="","",'Submission Form Entry'!J33)</f>
        <v/>
      </c>
    </row>
    <row r="5" spans="1:7" x14ac:dyDescent="0.2">
      <c r="A5" s="19" t="str">
        <f>IF(B5&lt;&gt;"",2,"")</f>
        <v/>
      </c>
      <c r="B5" s="19" t="str">
        <f>IF(B4="","",IF('Submission Form Entry'!A20=0,"",'Submission Form Entry'!A20))</f>
        <v/>
      </c>
      <c r="C5" s="19" t="str">
        <f>IF($B5="","",'Submission Form Entry'!B34)</f>
        <v/>
      </c>
      <c r="D5" s="19" t="str">
        <f>IF($B5="","",'Submission Form Entry'!H34)</f>
        <v/>
      </c>
      <c r="E5" s="20" t="str">
        <f>IF($B5="","",'Submission Form Entry'!I34)</f>
        <v/>
      </c>
      <c r="F5" s="20" t="str">
        <f>IF($B5="","",'Submission Form Entry'!J34)</f>
        <v/>
      </c>
    </row>
    <row r="6" spans="1:7" x14ac:dyDescent="0.2">
      <c r="A6" s="19" t="str">
        <f>IF(B6&lt;&gt;"",3,"")</f>
        <v/>
      </c>
      <c r="B6" s="19" t="str">
        <f>IF(B5="","",IF('Submission Form Entry'!A21=0,"",'Submission Form Entry'!A21))</f>
        <v/>
      </c>
      <c r="C6" s="19" t="str">
        <f>IF($B6="","",'Submission Form Entry'!B35)</f>
        <v/>
      </c>
      <c r="D6" s="19" t="str">
        <f>IF($B6="","",'Submission Form Entry'!H35)</f>
        <v/>
      </c>
      <c r="E6" s="20" t="str">
        <f>IF($B6="","",'Submission Form Entry'!I35)</f>
        <v/>
      </c>
      <c r="F6" s="20" t="str">
        <f>IF($B6="","",'Submission Form Entry'!J35)</f>
        <v/>
      </c>
    </row>
    <row r="7" spans="1:7" x14ac:dyDescent="0.2">
      <c r="A7" s="19" t="str">
        <f>IF(B7&lt;&gt;"",4,"")</f>
        <v/>
      </c>
      <c r="B7" s="19" t="str">
        <f>IF(B6="","",IF('Submission Form Entry'!A22=0,"",'Submission Form Entry'!A22))</f>
        <v/>
      </c>
      <c r="C7" s="19" t="str">
        <f>IF($B7="","",'Submission Form Entry'!B36)</f>
        <v/>
      </c>
      <c r="D7" s="19" t="str">
        <f>IF($B7="","",'Submission Form Entry'!H36)</f>
        <v/>
      </c>
      <c r="E7" s="20" t="str">
        <f>IF($B7="","",'Submission Form Entry'!I36)</f>
        <v/>
      </c>
      <c r="F7" s="20" t="str">
        <f>IF($B7="","",'Submission Form Entry'!J36)</f>
        <v/>
      </c>
      <c r="G7" s="5"/>
    </row>
    <row r="8" spans="1:7" x14ac:dyDescent="0.2">
      <c r="A8" s="19" t="str">
        <f>IF(B8&lt;&gt;"",5,"")</f>
        <v/>
      </c>
      <c r="B8" s="19" t="str">
        <f>IF(B7="","",IF('Submission Form Entry'!A23=0,"",'Submission Form Entry'!A23))</f>
        <v/>
      </c>
      <c r="C8" s="19" t="str">
        <f>IF($B8="","",'Submission Form Entry'!B37)</f>
        <v/>
      </c>
      <c r="D8" s="19" t="str">
        <f>IF($B8="","",'Submission Form Entry'!H37)</f>
        <v/>
      </c>
      <c r="E8" s="20" t="str">
        <f>IF($B8="","",'Submission Form Entry'!I37)</f>
        <v/>
      </c>
      <c r="F8" s="20" t="str">
        <f>IF($B8="","",'Submission Form Entry'!J37)</f>
        <v/>
      </c>
    </row>
    <row r="9" spans="1:7" x14ac:dyDescent="0.2">
      <c r="A9" s="19" t="str">
        <f>IF(B9&lt;&gt;"",6,"")</f>
        <v/>
      </c>
      <c r="B9" s="19" t="str">
        <f>IF(B8="","",IF('Submission Form Entry'!A24=0,"",'Submission Form Entry'!A24))</f>
        <v/>
      </c>
      <c r="C9" s="19" t="str">
        <f>IF($B9="","",'Submission Form Entry'!B38)</f>
        <v/>
      </c>
      <c r="D9" s="19" t="str">
        <f>IF($B9="","",'Submission Form Entry'!H38)</f>
        <v/>
      </c>
      <c r="E9" s="20" t="str">
        <f>IF($B9="","",'Submission Form Entry'!I38)</f>
        <v/>
      </c>
      <c r="F9" s="20" t="str">
        <f>IF($B9="","",'Submission Form Entry'!J38)</f>
        <v/>
      </c>
    </row>
    <row r="10" spans="1:7" x14ac:dyDescent="0.2">
      <c r="A10" s="19" t="str">
        <f>IF(B10&lt;&gt;"",7,"")</f>
        <v/>
      </c>
      <c r="B10" s="19" t="str">
        <f>IF(B9="","",IF('Submission Form Entry'!A25=0,"",'Submission Form Entry'!A25))</f>
        <v/>
      </c>
      <c r="C10" s="19" t="str">
        <f>IF($B10="","",'Submission Form Entry'!B39)</f>
        <v/>
      </c>
      <c r="D10" s="19" t="str">
        <f>IF($B10="","",'Submission Form Entry'!H39)</f>
        <v/>
      </c>
      <c r="E10" s="20" t="str">
        <f>IF($B10="","",'Submission Form Entry'!I39)</f>
        <v/>
      </c>
      <c r="F10" s="20" t="str">
        <f>IF($B10="","",'Submission Form Entry'!J39)</f>
        <v/>
      </c>
    </row>
    <row r="11" spans="1:7" x14ac:dyDescent="0.2">
      <c r="A11" s="19" t="str">
        <f>IF(B11&lt;&gt;"",8,"")</f>
        <v/>
      </c>
      <c r="B11" s="19" t="str">
        <f>IF(B10="","",IF('Submission Form Entry'!A26=0,"",'Submission Form Entry'!A26))</f>
        <v/>
      </c>
      <c r="C11" s="19" t="str">
        <f>IF($B11="","",'Submission Form Entry'!B40)</f>
        <v/>
      </c>
      <c r="D11" s="19" t="str">
        <f>IF($B11="","",'Submission Form Entry'!H40)</f>
        <v/>
      </c>
      <c r="E11" s="20" t="str">
        <f>IF($B11="","",'Submission Form Entry'!I40)</f>
        <v/>
      </c>
      <c r="F11" s="20" t="str">
        <f>IF($B11="","",'Submission Form Entry'!J40)</f>
        <v/>
      </c>
    </row>
  </sheetData>
  <conditionalFormatting sqref="A4">
    <cfRule type="expression" dxfId="67" priority="16">
      <formula>A4=1</formula>
    </cfRule>
  </conditionalFormatting>
  <conditionalFormatting sqref="A5">
    <cfRule type="expression" dxfId="66" priority="23">
      <formula>A5=2</formula>
    </cfRule>
  </conditionalFormatting>
  <conditionalFormatting sqref="A6">
    <cfRule type="expression" dxfId="65" priority="30">
      <formula>A6=3</formula>
    </cfRule>
  </conditionalFormatting>
  <conditionalFormatting sqref="A7">
    <cfRule type="expression" dxfId="64" priority="37">
      <formula>A7=4</formula>
    </cfRule>
  </conditionalFormatting>
  <conditionalFormatting sqref="A8">
    <cfRule type="expression" dxfId="63" priority="44">
      <formula>A8=5</formula>
    </cfRule>
  </conditionalFormatting>
  <conditionalFormatting sqref="A9">
    <cfRule type="expression" dxfId="62" priority="51">
      <formula>A9=6</formula>
    </cfRule>
  </conditionalFormatting>
  <conditionalFormatting sqref="A10">
    <cfRule type="expression" dxfId="61" priority="58">
      <formula>A10=7</formula>
    </cfRule>
  </conditionalFormatting>
  <conditionalFormatting sqref="A11">
    <cfRule type="expression" dxfId="60" priority="59">
      <formula>A11=8</formula>
    </cfRule>
  </conditionalFormatting>
  <conditionalFormatting sqref="B4">
    <cfRule type="expression" dxfId="59" priority="15">
      <formula>A4=1</formula>
    </cfRule>
  </conditionalFormatting>
  <conditionalFormatting sqref="B5">
    <cfRule type="expression" dxfId="58" priority="22">
      <formula>A5=2</formula>
    </cfRule>
  </conditionalFormatting>
  <conditionalFormatting sqref="B6">
    <cfRule type="expression" dxfId="57" priority="29">
      <formula>A6=3</formula>
    </cfRule>
  </conditionalFormatting>
  <conditionalFormatting sqref="B7">
    <cfRule type="expression" dxfId="56" priority="36">
      <formula>A7=4</formula>
    </cfRule>
  </conditionalFormatting>
  <conditionalFormatting sqref="B8">
    <cfRule type="expression" dxfId="55" priority="43">
      <formula>A8=5</formula>
    </cfRule>
  </conditionalFormatting>
  <conditionalFormatting sqref="B9">
    <cfRule type="expression" dxfId="54" priority="50">
      <formula>A9=6</formula>
    </cfRule>
  </conditionalFormatting>
  <conditionalFormatting sqref="B10">
    <cfRule type="expression" dxfId="53" priority="57">
      <formula>A10=7</formula>
    </cfRule>
  </conditionalFormatting>
  <conditionalFormatting sqref="B11">
    <cfRule type="expression" dxfId="52" priority="65">
      <formula>A11=8</formula>
    </cfRule>
  </conditionalFormatting>
  <conditionalFormatting sqref="C4">
    <cfRule type="expression" dxfId="51" priority="14">
      <formula>A4=1</formula>
    </cfRule>
  </conditionalFormatting>
  <conditionalFormatting sqref="C5">
    <cfRule type="expression" dxfId="50" priority="21">
      <formula>A5=2</formula>
    </cfRule>
  </conditionalFormatting>
  <conditionalFormatting sqref="C6">
    <cfRule type="expression" dxfId="49" priority="28">
      <formula>A6=3</formula>
    </cfRule>
  </conditionalFormatting>
  <conditionalFormatting sqref="C7">
    <cfRule type="expression" dxfId="48" priority="35">
      <formula>A7=4</formula>
    </cfRule>
  </conditionalFormatting>
  <conditionalFormatting sqref="C8">
    <cfRule type="expression" dxfId="47" priority="42">
      <formula>A8=5</formula>
    </cfRule>
  </conditionalFormatting>
  <conditionalFormatting sqref="C9">
    <cfRule type="expression" dxfId="46" priority="49">
      <formula>A9=6</formula>
    </cfRule>
  </conditionalFormatting>
  <conditionalFormatting sqref="C10">
    <cfRule type="expression" dxfId="45" priority="56">
      <formula>A10=7</formula>
    </cfRule>
  </conditionalFormatting>
  <conditionalFormatting sqref="C11">
    <cfRule type="expression" dxfId="44" priority="64">
      <formula>A11=8</formula>
    </cfRule>
  </conditionalFormatting>
  <conditionalFormatting sqref="D4">
    <cfRule type="expression" dxfId="43" priority="12">
      <formula>A4=1</formula>
    </cfRule>
  </conditionalFormatting>
  <conditionalFormatting sqref="D5">
    <cfRule type="expression" dxfId="42" priority="19">
      <formula>A5=2</formula>
    </cfRule>
  </conditionalFormatting>
  <conditionalFormatting sqref="D6">
    <cfRule type="expression" dxfId="41" priority="26">
      <formula>A6=3</formula>
    </cfRule>
  </conditionalFormatting>
  <conditionalFormatting sqref="D7">
    <cfRule type="expression" dxfId="40" priority="33">
      <formula>A7=4</formula>
    </cfRule>
  </conditionalFormatting>
  <conditionalFormatting sqref="D8">
    <cfRule type="expression" dxfId="39" priority="40">
      <formula>A8=5</formula>
    </cfRule>
  </conditionalFormatting>
  <conditionalFormatting sqref="D9">
    <cfRule type="expression" dxfId="38" priority="47">
      <formula>A9=6</formula>
    </cfRule>
  </conditionalFormatting>
  <conditionalFormatting sqref="D10">
    <cfRule type="expression" dxfId="37" priority="54">
      <formula>A10=7</formula>
    </cfRule>
  </conditionalFormatting>
  <conditionalFormatting sqref="D11">
    <cfRule type="expression" dxfId="36" priority="62">
      <formula>A11=8</formula>
    </cfRule>
  </conditionalFormatting>
  <conditionalFormatting sqref="E4">
    <cfRule type="expression" dxfId="35" priority="11">
      <formula>A4=1</formula>
    </cfRule>
  </conditionalFormatting>
  <conditionalFormatting sqref="E4:E11">
    <cfRule type="cellIs" dxfId="34" priority="1" operator="lessThan">
      <formula>2</formula>
    </cfRule>
  </conditionalFormatting>
  <conditionalFormatting sqref="E5">
    <cfRule type="expression" dxfId="33" priority="18">
      <formula>A5=2</formula>
    </cfRule>
  </conditionalFormatting>
  <conditionalFormatting sqref="E6">
    <cfRule type="expression" dxfId="32" priority="25">
      <formula>A6=3</formula>
    </cfRule>
  </conditionalFormatting>
  <conditionalFormatting sqref="E7">
    <cfRule type="expression" dxfId="31" priority="32">
      <formula>A7=4</formula>
    </cfRule>
  </conditionalFormatting>
  <conditionalFormatting sqref="E8">
    <cfRule type="expression" dxfId="30" priority="39">
      <formula>A8=5</formula>
    </cfRule>
  </conditionalFormatting>
  <conditionalFormatting sqref="E9">
    <cfRule type="expression" dxfId="29" priority="46">
      <formula>A9=6</formula>
    </cfRule>
  </conditionalFormatting>
  <conditionalFormatting sqref="E10">
    <cfRule type="expression" dxfId="28" priority="53">
      <formula>A10=7</formula>
    </cfRule>
  </conditionalFormatting>
  <conditionalFormatting sqref="E11">
    <cfRule type="expression" dxfId="27" priority="61">
      <formula>A11=8</formula>
    </cfRule>
  </conditionalFormatting>
  <conditionalFormatting sqref="F4">
    <cfRule type="expression" dxfId="26" priority="10">
      <formula>A4=1</formula>
    </cfRule>
  </conditionalFormatting>
  <conditionalFormatting sqref="F5">
    <cfRule type="expression" dxfId="25" priority="17">
      <formula>A5=2</formula>
    </cfRule>
  </conditionalFormatting>
  <conditionalFormatting sqref="F6">
    <cfRule type="expression" dxfId="24" priority="24">
      <formula>A6=3</formula>
    </cfRule>
  </conditionalFormatting>
  <conditionalFormatting sqref="F7">
    <cfRule type="expression" dxfId="23" priority="31">
      <formula>A7=4</formula>
    </cfRule>
  </conditionalFormatting>
  <conditionalFormatting sqref="F8">
    <cfRule type="expression" dxfId="22" priority="38">
      <formula>A8=5</formula>
    </cfRule>
  </conditionalFormatting>
  <conditionalFormatting sqref="F9">
    <cfRule type="expression" dxfId="21" priority="45">
      <formula>A9=6</formula>
    </cfRule>
  </conditionalFormatting>
  <conditionalFormatting sqref="F10">
    <cfRule type="expression" dxfId="20" priority="52">
      <formula>A10=7</formula>
    </cfRule>
  </conditionalFormatting>
  <conditionalFormatting sqref="F11">
    <cfRule type="expression" dxfId="19" priority="60">
      <formula>A11=8</formula>
    </cfRule>
  </conditionalFormatting>
  <conditionalFormatting sqref="G4">
    <cfRule type="expression" dxfId="18" priority="9">
      <formula>A4=1</formula>
    </cfRule>
  </conditionalFormatting>
  <conditionalFormatting sqref="G5">
    <cfRule type="expression" dxfId="17" priority="8">
      <formula>A5=2</formula>
    </cfRule>
  </conditionalFormatting>
  <conditionalFormatting sqref="G6">
    <cfRule type="expression" dxfId="16" priority="7">
      <formula>A6=3</formula>
    </cfRule>
  </conditionalFormatting>
  <conditionalFormatting sqref="G7">
    <cfRule type="expression" dxfId="15" priority="6">
      <formula>A7=4</formula>
    </cfRule>
  </conditionalFormatting>
  <conditionalFormatting sqref="G8">
    <cfRule type="expression" dxfId="14" priority="5">
      <formula>A8=5</formula>
    </cfRule>
  </conditionalFormatting>
  <conditionalFormatting sqref="G9">
    <cfRule type="expression" dxfId="13" priority="4">
      <formula>A9=6</formula>
    </cfRule>
  </conditionalFormatting>
  <conditionalFormatting sqref="G10">
    <cfRule type="expression" dxfId="12" priority="3">
      <formula>A10=7</formula>
    </cfRule>
  </conditionalFormatting>
  <conditionalFormatting sqref="G11">
    <cfRule type="expression" dxfId="11" priority="2">
      <formula>A11=8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activeCell="C3" sqref="C3"/>
    </sheetView>
  </sheetViews>
  <sheetFormatPr defaultColWidth="8.85546875" defaultRowHeight="12.75" x14ac:dyDescent="0.2"/>
  <cols>
    <col min="1" max="1" width="20.28515625" bestFit="1" customWidth="1"/>
    <col min="2" max="2" width="18.28515625" bestFit="1" customWidth="1"/>
    <col min="3" max="3" width="19" bestFit="1" customWidth="1"/>
    <col min="4" max="4" width="12.140625" bestFit="1" customWidth="1"/>
    <col min="5" max="5" width="24.42578125" bestFit="1" customWidth="1"/>
    <col min="6" max="6" width="21.42578125" bestFit="1" customWidth="1"/>
    <col min="7" max="7" width="16.28515625" bestFit="1" customWidth="1"/>
    <col min="8" max="8" width="19" bestFit="1" customWidth="1"/>
    <col min="9" max="9" width="16.140625" bestFit="1" customWidth="1"/>
  </cols>
  <sheetData>
    <row r="1" spans="1:17" x14ac:dyDescent="0.2">
      <c r="A1" t="s">
        <v>87</v>
      </c>
    </row>
    <row r="2" spans="1:17" x14ac:dyDescent="0.2">
      <c r="A2" s="5" t="s">
        <v>88</v>
      </c>
      <c r="B2" s="5" t="s">
        <v>89</v>
      </c>
      <c r="C2" t="s">
        <v>90</v>
      </c>
      <c r="D2" t="s">
        <v>91</v>
      </c>
      <c r="E2" s="5" t="s">
        <v>92</v>
      </c>
      <c r="F2" s="5" t="s">
        <v>93</v>
      </c>
      <c r="G2" s="5" t="s">
        <v>94</v>
      </c>
      <c r="H2" s="5" t="s">
        <v>95</v>
      </c>
      <c r="I2" s="5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</row>
    <row r="3" spans="1:17" x14ac:dyDescent="0.2">
      <c r="A3" s="6" t="s">
        <v>105</v>
      </c>
      <c r="D3" s="6"/>
    </row>
    <row r="4" spans="1:17" x14ac:dyDescent="0.2">
      <c r="A4" s="6" t="s">
        <v>106</v>
      </c>
      <c r="D4" s="6"/>
    </row>
    <row r="5" spans="1:17" x14ac:dyDescent="0.2">
      <c r="A5">
        <f>'Submission Form Entry'!A19</f>
        <v>0</v>
      </c>
      <c r="B5" t="str">
        <f>'Submission Form Entry'!B19</f>
        <v>[SELECT ONE]</v>
      </c>
      <c r="C5">
        <f>'Submission Form Entry'!D19</f>
        <v>0</v>
      </c>
      <c r="D5">
        <f>'Submission Form Entry'!B33</f>
        <v>0</v>
      </c>
      <c r="E5">
        <f>'Submission Form Entry'!H19</f>
        <v>0</v>
      </c>
      <c r="F5" t="e">
        <f>'Submission Form Entry'!#REF!</f>
        <v>#REF!</v>
      </c>
      <c r="G5">
        <f>'Submission Form Entry'!C19</f>
        <v>0</v>
      </c>
      <c r="H5" t="str">
        <f>'Submission Form Entry'!G33</f>
        <v/>
      </c>
      <c r="I5">
        <f>'Submission Form Entry'!D33</f>
        <v>0</v>
      </c>
      <c r="J5" t="e">
        <f>'Submission Form Entry'!#REF!</f>
        <v>#REF!</v>
      </c>
      <c r="K5" t="e">
        <f>'Submission Form Entry'!#REF!</f>
        <v>#REF!</v>
      </c>
      <c r="L5">
        <f>'Submission Form Entry'!C33</f>
        <v>0</v>
      </c>
      <c r="M5">
        <f>'Submission Form Entry'!E33</f>
        <v>0</v>
      </c>
      <c r="N5">
        <f>'Submission Form Entry'!F33</f>
        <v>0</v>
      </c>
      <c r="O5" t="str">
        <f>'Submission Form Entry'!H33</f>
        <v/>
      </c>
      <c r="P5" t="str">
        <f>'Submission Form Entry'!I33</f>
        <v/>
      </c>
      <c r="Q5" t="str">
        <f>'Submission Form Entry'!J33</f>
        <v/>
      </c>
    </row>
    <row r="6" spans="1:17" x14ac:dyDescent="0.2">
      <c r="A6" t="str">
        <f>IF(OR(A5="&lt;/SAMPLE ENTRIES&gt;",A5=""),"",IF('Submission Form Entry'!A20=0,"&lt;/SAMPLE ENTRIES&gt;",'Submission Form Entry'!A20))</f>
        <v>&lt;/SAMPLE ENTRIES&gt;</v>
      </c>
      <c r="B6" t="str">
        <f>IF(OR($A6="&lt;/SAMPLE ENTRIES&gt;",$A6=""),"",'Submission Form Entry'!B20)</f>
        <v/>
      </c>
      <c r="C6" t="str">
        <f>IF(OR($A6="&lt;/SAMPLE ENTRIES&gt;",$A6=""),"",'Submission Form Entry'!D20)</f>
        <v/>
      </c>
      <c r="D6" t="str">
        <f>IF(OR($A6="&lt;/SAMPLE ENTRIES&gt;",$A6=""),"",'Submission Form Entry'!B34)</f>
        <v/>
      </c>
      <c r="E6" t="str">
        <f>IF(OR($A6="&lt;/SAMPLE ENTRIES&gt;",$A6=""),"",'Submission Form Entry'!H20)</f>
        <v/>
      </c>
      <c r="F6" t="str">
        <f>IF(OR($A6="&lt;/SAMPLE ENTRIES&gt;",$A6=""),"",'Submission Form Entry'!#REF!)</f>
        <v/>
      </c>
      <c r="G6" t="str">
        <f>IF(OR($A6="&lt;/SAMPLE ENTRIES&gt;",$A6=""),"",'Submission Form Entry'!C20)</f>
        <v/>
      </c>
      <c r="H6" t="str">
        <f>IF(OR($A6="&lt;/SAMPLE ENTRIES&gt;",$A6=""),"",'Submission Form Entry'!G34)</f>
        <v/>
      </c>
      <c r="I6" t="str">
        <f>IF(OR($A6="&lt;/SAMPLE ENTRIES&gt;",$A6=""),"",'Submission Form Entry'!D34)</f>
        <v/>
      </c>
      <c r="J6" t="str">
        <f>IF(OR($A6="&lt;/SAMPLE ENTRIES&gt;",$A6=""),"",'Submission Form Entry'!#REF!)</f>
        <v/>
      </c>
      <c r="K6" t="str">
        <f>IF(OR($A6="&lt;/SAMPLE ENTRIES&gt;",$A6=""),"",'Submission Form Entry'!#REF!)</f>
        <v/>
      </c>
      <c r="L6" t="str">
        <f>IF(OR($A6="&lt;/SAMPLE ENTRIES&gt;",$A6=""),"",'Submission Form Entry'!C34)</f>
        <v/>
      </c>
      <c r="M6" t="str">
        <f>IF(OR($A6="&lt;/SAMPLE ENTRIES&gt;",$A6=""),"",'Submission Form Entry'!E34)</f>
        <v/>
      </c>
      <c r="N6" t="str">
        <f>IF(OR($A6="&lt;/SAMPLE ENTRIES&gt;",$A6=""),"",'Submission Form Entry'!F34)</f>
        <v/>
      </c>
      <c r="O6" t="str">
        <f>IF(OR($A6="&lt;/SAMPLE ENTRIES&gt;",$A6=""),"",'Submission Form Entry'!H34)</f>
        <v/>
      </c>
      <c r="P6" t="str">
        <f>IF(OR($A6="&lt;/SAMPLE ENTRIES&gt;",$A6=""),"",'Submission Form Entry'!I34)</f>
        <v/>
      </c>
      <c r="Q6" t="str">
        <f>IF(OR($A6="&lt;/SAMPLE ENTRIES&gt;",$A6=""),"",'Submission Form Entry'!J34)</f>
        <v/>
      </c>
    </row>
    <row r="7" spans="1:17" x14ac:dyDescent="0.2">
      <c r="A7" t="str">
        <f>IF(OR(A6="&lt;/SAMPLE ENTRIES&gt;",A6=""),"",IF('Submission Form Entry'!A21=0,"&lt;/SAMPLE ENTRIES&gt;",'Submission Form Entry'!A21))</f>
        <v/>
      </c>
      <c r="B7" t="str">
        <f>IF(OR($A7="&lt;/SAMPLE ENTRIES&gt;",$A7=""),"",'Submission Form Entry'!B21)</f>
        <v/>
      </c>
      <c r="D7" t="str">
        <f>IF(OR($A7="&lt;/SAMPLE ENTRIES&gt;",$A7=""),"",'Submission Form Entry'!B35)</f>
        <v/>
      </c>
      <c r="E7" t="str">
        <f>IF(OR($A7="&lt;/SAMPLE ENTRIES&gt;",$A7=""),"",'Submission Form Entry'!H21)</f>
        <v/>
      </c>
      <c r="F7" t="str">
        <f>IF(OR($A7="&lt;/SAMPLE ENTRIES&gt;",$A7=""),"",'Submission Form Entry'!#REF!)</f>
        <v/>
      </c>
      <c r="G7" t="str">
        <f>IF(OR($A7="&lt;/SAMPLE ENTRIES&gt;",$A7=""),"",'Submission Form Entry'!C21)</f>
        <v/>
      </c>
      <c r="H7" t="str">
        <f>IF(OR($A7="&lt;/SAMPLE ENTRIES&gt;",$A7=""),"",'Submission Form Entry'!G35)</f>
        <v/>
      </c>
      <c r="I7" t="str">
        <f>IF(OR($A7="&lt;/SAMPLE ENTRIES&gt;",$A7=""),"",'Submission Form Entry'!D35)</f>
        <v/>
      </c>
      <c r="J7" t="str">
        <f>IF(OR($A7="&lt;/SAMPLE ENTRIES&gt;",$A7=""),"",'Submission Form Entry'!#REF!)</f>
        <v/>
      </c>
      <c r="K7" t="str">
        <f>IF(OR($A7="&lt;/SAMPLE ENTRIES&gt;",$A7=""),"",'Submission Form Entry'!#REF!)</f>
        <v/>
      </c>
      <c r="L7" t="str">
        <f>IF(OR($A7="&lt;/SAMPLE ENTRIES&gt;",$A7=""),"",'Submission Form Entry'!C35)</f>
        <v/>
      </c>
      <c r="M7" t="str">
        <f>IF(OR($A7="&lt;/SAMPLE ENTRIES&gt;",$A7=""),"",'Submission Form Entry'!E35)</f>
        <v/>
      </c>
      <c r="N7" t="str">
        <f>IF(OR($A7="&lt;/SAMPLE ENTRIES&gt;",$A7=""),"",'Submission Form Entry'!F35)</f>
        <v/>
      </c>
      <c r="O7" t="str">
        <f>IF(OR($A7="&lt;/SAMPLE ENTRIES&gt;",$A7=""),"",'Submission Form Entry'!H35)</f>
        <v/>
      </c>
      <c r="P7" t="str">
        <f>IF(OR($A7="&lt;/SAMPLE ENTRIES&gt;",$A7=""),"",'Submission Form Entry'!I35)</f>
        <v/>
      </c>
    </row>
    <row r="8" spans="1:17" x14ac:dyDescent="0.2">
      <c r="A8" t="str">
        <f>IF(OR(A7="&lt;/SAMPLE ENTRIES&gt;",A7=""),"",IF('Submission Form Entry'!A22=0,"&lt;/SAMPLE ENTRIES&gt;",'Submission Form Entry'!A22))</f>
        <v/>
      </c>
      <c r="B8" t="str">
        <f>IF(OR($A8="&lt;/SAMPLE ENTRIES&gt;",$A8=""),"",'Submission Form Entry'!B22)</f>
        <v/>
      </c>
      <c r="C8" t="str">
        <f>IF(OR($A8="&lt;/SAMPLE ENTRIES&gt;",$A8=""),"",'Submission Form Entry'!D22)</f>
        <v/>
      </c>
      <c r="D8" t="str">
        <f>IF(OR($A8="&lt;/SAMPLE ENTRIES&gt;",$A8=""),"",'Submission Form Entry'!B36)</f>
        <v/>
      </c>
      <c r="E8" t="str">
        <f>IF(OR($A8="&lt;/SAMPLE ENTRIES&gt;",$A8=""),"",'Submission Form Entry'!H22)</f>
        <v/>
      </c>
      <c r="F8" t="str">
        <f>IF(OR($A8="&lt;/SAMPLE ENTRIES&gt;",$A8=""),"",'Submission Form Entry'!#REF!)</f>
        <v/>
      </c>
      <c r="G8" t="str">
        <f>IF(OR($A8="&lt;/SAMPLE ENTRIES&gt;",$A8=""),"",'Submission Form Entry'!C22)</f>
        <v/>
      </c>
      <c r="H8" t="str">
        <f>IF(OR($A8="&lt;/SAMPLE ENTRIES&gt;",$A8=""),"",'Submission Form Entry'!G36)</f>
        <v/>
      </c>
      <c r="I8" t="str">
        <f>IF(OR($A8="&lt;/SAMPLE ENTRIES&gt;",$A8=""),"",'Submission Form Entry'!D36)</f>
        <v/>
      </c>
      <c r="J8" t="str">
        <f>IF(OR($A8="&lt;/SAMPLE ENTRIES&gt;",$A8=""),"",'Submission Form Entry'!#REF!)</f>
        <v/>
      </c>
      <c r="K8" t="str">
        <f>IF(OR($A8="&lt;/SAMPLE ENTRIES&gt;",$A8=""),"",'Submission Form Entry'!#REF!)</f>
        <v/>
      </c>
      <c r="L8" t="str">
        <f>IF(OR($A8="&lt;/SAMPLE ENTRIES&gt;",$A8=""),"",'Submission Form Entry'!C36)</f>
        <v/>
      </c>
      <c r="M8" t="str">
        <f>IF(OR($A8="&lt;/SAMPLE ENTRIES&gt;",$A8=""),"",'Submission Form Entry'!E36)</f>
        <v/>
      </c>
      <c r="N8" t="str">
        <f>IF(OR($A8="&lt;/SAMPLE ENTRIES&gt;",$A8=""),"",'Submission Form Entry'!F36)</f>
        <v/>
      </c>
      <c r="O8" t="str">
        <f>IF(OR($A8="&lt;/SAMPLE ENTRIES&gt;",$A8=""),"",'Submission Form Entry'!H36)</f>
        <v/>
      </c>
      <c r="P8" t="str">
        <f>IF(OR($A8="&lt;/SAMPLE ENTRIES&gt;",$A8=""),"",'Submission Form Entry'!I36)</f>
        <v/>
      </c>
    </row>
    <row r="9" spans="1:17" x14ac:dyDescent="0.2">
      <c r="A9" t="str">
        <f>IF(OR(A8="&lt;/SAMPLE ENTRIES&gt;",A8=""),"",IF('Submission Form Entry'!A23=0,"&lt;/SAMPLE ENTRIES&gt;",'Submission Form Entry'!A23))</f>
        <v/>
      </c>
      <c r="B9" t="str">
        <f>IF(OR($A9="&lt;/SAMPLE ENTRIES&gt;",$A9=""),"",'Submission Form Entry'!B23)</f>
        <v/>
      </c>
      <c r="C9" t="str">
        <f>IF(OR($A9="&lt;/SAMPLE ENTRIES&gt;",$A9=""),"",'Submission Form Entry'!D23)</f>
        <v/>
      </c>
      <c r="D9" t="str">
        <f>IF(OR($A9="&lt;/SAMPLE ENTRIES&gt;",$A9=""),"",'Submission Form Entry'!B37)</f>
        <v/>
      </c>
      <c r="E9" t="str">
        <f>IF(OR($A9="&lt;/SAMPLE ENTRIES&gt;",$A9=""),"",'Submission Form Entry'!H23)</f>
        <v/>
      </c>
      <c r="F9" t="str">
        <f>IF(OR($A9="&lt;/SAMPLE ENTRIES&gt;",$A9=""),"",'Submission Form Entry'!#REF!)</f>
        <v/>
      </c>
      <c r="G9" t="str">
        <f>IF(OR($A9="&lt;/SAMPLE ENTRIES&gt;",$A9=""),"",'Submission Form Entry'!C23)</f>
        <v/>
      </c>
      <c r="H9" t="str">
        <f>IF(OR($A9="&lt;/SAMPLE ENTRIES&gt;",$A9=""),"",'Submission Form Entry'!G37)</f>
        <v/>
      </c>
      <c r="I9" t="str">
        <f>IF(OR($A9="&lt;/SAMPLE ENTRIES&gt;",$A9=""),"",'Submission Form Entry'!D37)</f>
        <v/>
      </c>
      <c r="J9" t="str">
        <f>IF(OR($A9="&lt;/SAMPLE ENTRIES&gt;",$A9=""),"",'Submission Form Entry'!#REF!)</f>
        <v/>
      </c>
      <c r="K9" t="str">
        <f>IF(OR($A9="&lt;/SAMPLE ENTRIES&gt;",$A9=""),"",'Submission Form Entry'!#REF!)</f>
        <v/>
      </c>
      <c r="L9" t="str">
        <f>IF(OR($A9="&lt;/SAMPLE ENTRIES&gt;",$A9=""),"",'Submission Form Entry'!C37)</f>
        <v/>
      </c>
      <c r="M9" t="str">
        <f>IF(OR($A9="&lt;/SAMPLE ENTRIES&gt;",$A9=""),"",'Submission Form Entry'!E37)</f>
        <v/>
      </c>
      <c r="N9" t="str">
        <f>IF(OR($A9="&lt;/SAMPLE ENTRIES&gt;",$A9=""),"",'Submission Form Entry'!F37)</f>
        <v/>
      </c>
      <c r="O9" t="str">
        <f>IF(OR($A9="&lt;/SAMPLE ENTRIES&gt;",$A9=""),"",'Submission Form Entry'!H37)</f>
        <v/>
      </c>
      <c r="P9" t="str">
        <f>IF(OR($A9="&lt;/SAMPLE ENTRIES&gt;",$A9=""),"",'Submission Form Entry'!I37)</f>
        <v/>
      </c>
    </row>
    <row r="10" spans="1:17" x14ac:dyDescent="0.2">
      <c r="A10" t="str">
        <f>IF(OR(A9="&lt;/SAMPLE ENTRIES&gt;",A9=""),"",IF('Submission Form Entry'!A24=0,"&lt;/SAMPLE ENTRIES&gt;",'Submission Form Entry'!A24))</f>
        <v/>
      </c>
      <c r="B10" t="str">
        <f>IF(OR($A10="&lt;/SAMPLE ENTRIES&gt;",$A10=""),"",'Submission Form Entry'!B24)</f>
        <v/>
      </c>
      <c r="C10" t="str">
        <f>IF(OR($A10="&lt;/SAMPLE ENTRIES&gt;",$A10=""),"",'Submission Form Entry'!D24)</f>
        <v/>
      </c>
      <c r="D10" t="str">
        <f>IF(OR($A10="&lt;/SAMPLE ENTRIES&gt;",$A10=""),"",'Submission Form Entry'!B38)</f>
        <v/>
      </c>
      <c r="E10" t="str">
        <f>IF(OR($A10="&lt;/SAMPLE ENTRIES&gt;",$A10=""),"",'Submission Form Entry'!H24)</f>
        <v/>
      </c>
      <c r="F10" t="str">
        <f>IF(OR($A10="&lt;/SAMPLE ENTRIES&gt;",$A10=""),"",'Submission Form Entry'!#REF!)</f>
        <v/>
      </c>
      <c r="G10" t="str">
        <f>IF(OR($A10="&lt;/SAMPLE ENTRIES&gt;",$A10=""),"",'Submission Form Entry'!C24)</f>
        <v/>
      </c>
      <c r="H10" t="str">
        <f>IF(OR($A10="&lt;/SAMPLE ENTRIES&gt;",$A10=""),"",'Submission Form Entry'!G38)</f>
        <v/>
      </c>
      <c r="I10" t="str">
        <f>IF(OR($A10="&lt;/SAMPLE ENTRIES&gt;",$A10=""),"",'Submission Form Entry'!D38)</f>
        <v/>
      </c>
      <c r="J10" t="str">
        <f>IF(OR($A10="&lt;/SAMPLE ENTRIES&gt;",$A10=""),"",'Submission Form Entry'!#REF!)</f>
        <v/>
      </c>
      <c r="K10" t="str">
        <f>IF(OR($A10="&lt;/SAMPLE ENTRIES&gt;",$A10=""),"",'Submission Form Entry'!#REF!)</f>
        <v/>
      </c>
      <c r="L10" t="str">
        <f>IF(OR($A10="&lt;/SAMPLE ENTRIES&gt;",$A10=""),"",'Submission Form Entry'!C38)</f>
        <v/>
      </c>
      <c r="M10" t="str">
        <f>IF(OR($A10="&lt;/SAMPLE ENTRIES&gt;",$A10=""),"",'Submission Form Entry'!E38)</f>
        <v/>
      </c>
      <c r="N10" t="str">
        <f>IF(OR($A10="&lt;/SAMPLE ENTRIES&gt;",$A10=""),"",'Submission Form Entry'!F38)</f>
        <v/>
      </c>
      <c r="O10" t="str">
        <f>IF(OR($A10="&lt;/SAMPLE ENTRIES&gt;",$A10=""),"",'Submission Form Entry'!H38)</f>
        <v/>
      </c>
      <c r="P10" t="str">
        <f>IF(OR($A10="&lt;/SAMPLE ENTRIES&gt;",$A10=""),"",'Submission Form Entry'!I38)</f>
        <v/>
      </c>
    </row>
    <row r="11" spans="1:17" x14ac:dyDescent="0.2">
      <c r="A11" t="str">
        <f>IF(OR(A10="&lt;/SAMPLE ENTRIES&gt;",A10=""),"",IF('Submission Form Entry'!A25=0,"&lt;/SAMPLE ENTRIES&gt;",'Submission Form Entry'!A25))</f>
        <v/>
      </c>
      <c r="B11" t="str">
        <f>IF(OR($A11="&lt;/SAMPLE ENTRIES&gt;",$A11=""),"",'Submission Form Entry'!B25)</f>
        <v/>
      </c>
      <c r="C11" t="str">
        <f>IF(OR($A11="&lt;/SAMPLE ENTRIES&gt;",$A11=""),"",'Submission Form Entry'!D25)</f>
        <v/>
      </c>
      <c r="D11" t="str">
        <f>IF(OR($A11="&lt;/SAMPLE ENTRIES&gt;",$A11=""),"",'Submission Form Entry'!B39)</f>
        <v/>
      </c>
      <c r="E11" t="str">
        <f>IF(OR($A11="&lt;/SAMPLE ENTRIES&gt;",$A11=""),"",'Submission Form Entry'!H25)</f>
        <v/>
      </c>
      <c r="F11" t="str">
        <f>IF(OR($A11="&lt;/SAMPLE ENTRIES&gt;",$A11=""),"",'Submission Form Entry'!#REF!)</f>
        <v/>
      </c>
      <c r="G11" t="str">
        <f>IF(OR($A11="&lt;/SAMPLE ENTRIES&gt;",$A11=""),"",'Submission Form Entry'!C25)</f>
        <v/>
      </c>
      <c r="H11" t="str">
        <f>IF(OR($A11="&lt;/SAMPLE ENTRIES&gt;",$A11=""),"",'Submission Form Entry'!G39)</f>
        <v/>
      </c>
      <c r="I11" t="str">
        <f>IF(OR($A11="&lt;/SAMPLE ENTRIES&gt;",$A11=""),"",'Submission Form Entry'!D39)</f>
        <v/>
      </c>
      <c r="J11" t="str">
        <f>IF(OR($A11="&lt;/SAMPLE ENTRIES&gt;",$A11=""),"",'Submission Form Entry'!#REF!)</f>
        <v/>
      </c>
      <c r="K11" t="str">
        <f>IF(OR($A11="&lt;/SAMPLE ENTRIES&gt;",$A11=""),"",'Submission Form Entry'!#REF!)</f>
        <v/>
      </c>
      <c r="L11" t="str">
        <f>IF(OR($A11="&lt;/SAMPLE ENTRIES&gt;",$A11=""),"",'Submission Form Entry'!C39)</f>
        <v/>
      </c>
      <c r="M11" t="str">
        <f>IF(OR($A11="&lt;/SAMPLE ENTRIES&gt;",$A11=""),"",'Submission Form Entry'!E39)</f>
        <v/>
      </c>
      <c r="N11" t="str">
        <f>IF(OR($A11="&lt;/SAMPLE ENTRIES&gt;",$A11=""),"",'Submission Form Entry'!F39)</f>
        <v/>
      </c>
      <c r="O11" t="str">
        <f>IF(OR($A11="&lt;/SAMPLE ENTRIES&gt;",$A11=""),"",'Submission Form Entry'!H39)</f>
        <v/>
      </c>
      <c r="P11" t="str">
        <f>IF(OR($A11="&lt;/SAMPLE ENTRIES&gt;",$A11=""),"",'Submission Form Entry'!I39)</f>
        <v/>
      </c>
    </row>
    <row r="12" spans="1:17" x14ac:dyDescent="0.2">
      <c r="A12" t="str">
        <f>IF(OR(A11="&lt;/SAMPLE ENTRIES&gt;",A11=""),"",IF('Submission Form Entry'!A26=0,"&lt;/SAMPLE ENTRIES&gt;",'Submission Form Entry'!A26))</f>
        <v/>
      </c>
      <c r="B12" t="str">
        <f>IF(OR($A12="&lt;/SAMPLE ENTRIES&gt;",$A12=""),"",'Submission Form Entry'!B26)</f>
        <v/>
      </c>
      <c r="C12" t="str">
        <f>IF(OR($A12="&lt;/SAMPLE ENTRIES&gt;",$A12=""),"",'Submission Form Entry'!D26)</f>
        <v/>
      </c>
      <c r="D12" t="str">
        <f>IF(OR($A12="&lt;/SAMPLE ENTRIES&gt;",$A12=""),"",'Submission Form Entry'!B40)</f>
        <v/>
      </c>
      <c r="E12" t="str">
        <f>IF(OR($A12="&lt;/SAMPLE ENTRIES&gt;",$A12=""),"",'Submission Form Entry'!H26)</f>
        <v/>
      </c>
      <c r="F12" t="str">
        <f>IF(OR($A12="&lt;/SAMPLE ENTRIES&gt;",$A12=""),"",'Submission Form Entry'!#REF!)</f>
        <v/>
      </c>
      <c r="G12" t="str">
        <f>IF(OR($A12="&lt;/SAMPLE ENTRIES&gt;",$A12=""),"",'Submission Form Entry'!C26)</f>
        <v/>
      </c>
      <c r="H12" t="str">
        <f>IF(OR($A12="&lt;/SAMPLE ENTRIES&gt;",$A12=""),"",'Submission Form Entry'!G40)</f>
        <v/>
      </c>
      <c r="I12" t="str">
        <f>IF(OR($A12="&lt;/SAMPLE ENTRIES&gt;",$A12=""),"",'Submission Form Entry'!D40)</f>
        <v/>
      </c>
      <c r="J12" t="str">
        <f>IF(OR($A12="&lt;/SAMPLE ENTRIES&gt;",$A12=""),"",'Submission Form Entry'!#REF!)</f>
        <v/>
      </c>
      <c r="K12" t="str">
        <f>IF(OR($A12="&lt;/SAMPLE ENTRIES&gt;",$A12=""),"",'Submission Form Entry'!#REF!)</f>
        <v/>
      </c>
      <c r="L12" t="str">
        <f>IF(OR($A12="&lt;/SAMPLE ENTRIES&gt;",$A12=""),"",'Submission Form Entry'!C40)</f>
        <v/>
      </c>
      <c r="M12" t="str">
        <f>IF(OR($A12="&lt;/SAMPLE ENTRIES&gt;",$A12=""),"",'Submission Form Entry'!E40)</f>
        <v/>
      </c>
      <c r="N12" t="str">
        <f>IF(OR($A12="&lt;/SAMPLE ENTRIES&gt;",$A12=""),"",'Submission Form Entry'!F40)</f>
        <v/>
      </c>
      <c r="O12" t="str">
        <f>IF(OR($A12="&lt;/SAMPLE ENTRIES&gt;",$A12=""),"",'Submission Form Entry'!H40)</f>
        <v/>
      </c>
      <c r="P12" t="str">
        <f>IF(OR($A12="&lt;/SAMPLE ENTRIES&gt;",$A12=""),"",'Submission Form Entry'!I40)</f>
        <v/>
      </c>
    </row>
    <row r="13" spans="1:17" x14ac:dyDescent="0.2">
      <c r="A13" t="str">
        <f>IF(OR(A12="&lt;/SAMPLE ENTRIES&gt;",A12=""),"",IF('Submission Form Entry'!A29="add additional lines here","&lt;/SAMPLE ENTRIES&gt;",'Submission Form Entry'!A29))</f>
        <v/>
      </c>
      <c r="B13" t="str">
        <f>IF(OR($A13="&lt;/SAMPLE ENTRIES&gt;",$A13=""),"",'Submission Form Entry'!B29)</f>
        <v/>
      </c>
      <c r="C13" t="str">
        <f>IF(OR($A13="&lt;/SAMPLE ENTRIES&gt;",$A13=""),"",'Submission Form Entry'!D29)</f>
        <v/>
      </c>
      <c r="D13" t="str">
        <f>IF(OR($A13="&lt;/SAMPLE ENTRIES&gt;",$A13=""),"",'Submission Form Entry'!B43)</f>
        <v/>
      </c>
      <c r="E13" t="str">
        <f>IF(OR($A13="&lt;/SAMPLE ENTRIES&gt;",$A13=""),"",'Submission Form Entry'!H29)</f>
        <v/>
      </c>
      <c r="F13" t="str">
        <f>IF(OR($A13="&lt;/SAMPLE ENTRIES&gt;",$A13=""),"",'Submission Form Entry'!#REF!)</f>
        <v/>
      </c>
      <c r="G13" t="str">
        <f>IF(OR($A13="&lt;/SAMPLE ENTRIES&gt;",$A13=""),"",'Submission Form Entry'!C29)</f>
        <v/>
      </c>
      <c r="H13" t="str">
        <f>IF(OR($A13="&lt;/SAMPLE ENTRIES&gt;",$A13=""),"",'Submission Form Entry'!G43)</f>
        <v/>
      </c>
      <c r="I13" t="str">
        <f>IF(OR($A13="&lt;/SAMPLE ENTRIES&gt;",$A13=""),"",'Submission Form Entry'!D43)</f>
        <v/>
      </c>
      <c r="J13" t="str">
        <f>IF(OR($A13="&lt;/SAMPLE ENTRIES&gt;",$A13=""),"",'Submission Form Entry'!#REF!)</f>
        <v/>
      </c>
      <c r="K13" t="str">
        <f>IF(OR($A13="&lt;/SAMPLE ENTRIES&gt;",$A13=""),"",'Submission Form Entry'!#REF!)</f>
        <v/>
      </c>
      <c r="L13" t="str">
        <f>IF(OR($A13="&lt;/SAMPLE ENTRIES&gt;",$A13=""),"",'Submission Form Entry'!C43)</f>
        <v/>
      </c>
      <c r="M13" t="str">
        <f>IF(OR($A13="&lt;/SAMPLE ENTRIES&gt;",$A13=""),"",'Submission Form Entry'!E43)</f>
        <v/>
      </c>
      <c r="N13" t="str">
        <f>IF(OR($A13="&lt;/SAMPLE ENTRIES&gt;",$A13=""),"",'Submission Form Entry'!F43)</f>
        <v/>
      </c>
      <c r="O13" t="str">
        <f>IF(OR($A13="&lt;/SAMPLE ENTRIES&gt;",$A13=""),"",'Submission Form Entry'!H43)</f>
        <v/>
      </c>
      <c r="P13" t="str">
        <f>IF(OR($A13="&lt;/SAMPLE ENTRIES&gt;",$A13=""),"",'Submission Form Entry'!I43)</f>
        <v/>
      </c>
    </row>
    <row r="14" spans="1:17" x14ac:dyDescent="0.2">
      <c r="A14" s="5"/>
      <c r="F14" s="5"/>
    </row>
  </sheetData>
  <sheetProtection algorithmName="SHA-512" hashValue="3hDGZYLE5ciw6a+lM3DurioX0snFMcn/zph3az2WW7SrUQUcCsbx05HvgFnMchQFf5AzCryFHY4twFL+lvCNfQ==" saltValue="DC416Hfmpa33Lzx+B6ivS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workbookViewId="0">
      <selection activeCell="J23" sqref="J23"/>
    </sheetView>
  </sheetViews>
  <sheetFormatPr defaultColWidth="8.85546875" defaultRowHeight="12.75" x14ac:dyDescent="0.2"/>
  <cols>
    <col min="1" max="1" width="38" customWidth="1"/>
    <col min="2" max="2" width="16.28515625" customWidth="1"/>
    <col min="3" max="3" width="38.140625" customWidth="1"/>
    <col min="4" max="4" width="21.42578125" bestFit="1" customWidth="1"/>
    <col min="5" max="5" width="11.140625" customWidth="1"/>
    <col min="6" max="6" width="21.42578125" customWidth="1"/>
    <col min="7" max="7" width="37" bestFit="1" customWidth="1"/>
    <col min="8" max="8" width="30.85546875" customWidth="1"/>
    <col min="9" max="9" width="32" bestFit="1" customWidth="1"/>
    <col min="10" max="10" width="40.28515625" bestFit="1" customWidth="1"/>
    <col min="11" max="11" width="23.42578125" customWidth="1"/>
    <col min="12" max="12" width="23" bestFit="1" customWidth="1"/>
    <col min="13" max="13" width="27.7109375" bestFit="1" customWidth="1"/>
    <col min="14" max="14" width="22" bestFit="1" customWidth="1"/>
    <col min="15" max="15" width="35.140625" bestFit="1" customWidth="1"/>
    <col min="16" max="16" width="24" bestFit="1" customWidth="1"/>
    <col min="17" max="17" width="21.42578125" bestFit="1" customWidth="1"/>
    <col min="18" max="18" width="17.42578125" bestFit="1" customWidth="1"/>
  </cols>
  <sheetData>
    <row r="1" spans="1:19" x14ac:dyDescent="0.2">
      <c r="A1" s="5"/>
      <c r="B1" s="5" t="s">
        <v>107</v>
      </c>
      <c r="C1" s="5" t="s">
        <v>108</v>
      </c>
      <c r="F1" s="5" t="s">
        <v>109</v>
      </c>
      <c r="G1" s="5" t="s">
        <v>110</v>
      </c>
      <c r="H1" s="5" t="s">
        <v>111</v>
      </c>
      <c r="I1" t="s">
        <v>253</v>
      </c>
      <c r="J1" t="s">
        <v>254</v>
      </c>
      <c r="K1" t="s">
        <v>1</v>
      </c>
      <c r="L1" s="5" t="s">
        <v>1</v>
      </c>
      <c r="M1" s="5" t="s">
        <v>112</v>
      </c>
      <c r="N1" s="5" t="s">
        <v>1</v>
      </c>
      <c r="O1" s="5"/>
      <c r="P1" s="5"/>
      <c r="Q1" s="5"/>
      <c r="R1" s="5"/>
    </row>
    <row r="2" spans="1:19" x14ac:dyDescent="0.2">
      <c r="A2" s="5" t="s">
        <v>113</v>
      </c>
      <c r="B2" s="5" t="s">
        <v>114</v>
      </c>
      <c r="C2" s="5" t="s">
        <v>115</v>
      </c>
      <c r="F2" s="5" t="s">
        <v>116</v>
      </c>
      <c r="G2" s="5" t="s">
        <v>117</v>
      </c>
      <c r="H2" s="5" t="s">
        <v>118</v>
      </c>
      <c r="I2" s="5" t="s">
        <v>117</v>
      </c>
      <c r="J2" t="s">
        <v>252</v>
      </c>
      <c r="K2" t="s">
        <v>119</v>
      </c>
      <c r="L2" s="5" t="s">
        <v>66</v>
      </c>
      <c r="M2" t="s">
        <v>120</v>
      </c>
      <c r="N2" s="5" t="s">
        <v>233</v>
      </c>
      <c r="O2" s="5"/>
      <c r="P2" s="5"/>
      <c r="Q2" s="5"/>
      <c r="R2" s="5"/>
      <c r="S2" s="5"/>
    </row>
    <row r="3" spans="1:19" x14ac:dyDescent="0.2">
      <c r="A3" s="5" t="s">
        <v>121</v>
      </c>
      <c r="B3" s="5" t="s">
        <v>122</v>
      </c>
      <c r="C3" s="5" t="s">
        <v>123</v>
      </c>
      <c r="F3" s="5" t="s">
        <v>124</v>
      </c>
      <c r="G3" s="5" t="s">
        <v>125</v>
      </c>
      <c r="H3" s="5" t="s">
        <v>126</v>
      </c>
      <c r="I3" s="5" t="s">
        <v>125</v>
      </c>
      <c r="J3" t="s">
        <v>131</v>
      </c>
      <c r="K3" s="5" t="s">
        <v>127</v>
      </c>
      <c r="L3" s="5" t="s">
        <v>71</v>
      </c>
      <c r="M3" s="5" t="s">
        <v>128</v>
      </c>
      <c r="N3" s="5" t="s">
        <v>234</v>
      </c>
      <c r="O3" s="5"/>
      <c r="P3" s="5"/>
      <c r="R3" s="5"/>
    </row>
    <row r="4" spans="1:19" x14ac:dyDescent="0.2">
      <c r="A4" s="5" t="s">
        <v>63</v>
      </c>
      <c r="B4" s="5" t="s">
        <v>249</v>
      </c>
      <c r="C4" s="5" t="s">
        <v>129</v>
      </c>
      <c r="E4" s="5"/>
      <c r="F4" t="s">
        <v>253</v>
      </c>
      <c r="G4" s="5" t="s">
        <v>130</v>
      </c>
      <c r="H4" s="5" t="s">
        <v>131</v>
      </c>
      <c r="I4" s="5" t="s">
        <v>130</v>
      </c>
      <c r="J4" t="s">
        <v>135</v>
      </c>
      <c r="K4" s="6" t="s">
        <v>132</v>
      </c>
      <c r="L4" s="5" t="s">
        <v>76</v>
      </c>
      <c r="M4" s="5" t="s">
        <v>133</v>
      </c>
      <c r="R4" s="5"/>
    </row>
    <row r="5" spans="1:19" x14ac:dyDescent="0.2">
      <c r="A5" s="5" t="s">
        <v>18</v>
      </c>
      <c r="B5" s="5" t="s">
        <v>1</v>
      </c>
      <c r="C5" s="5" t="s">
        <v>134</v>
      </c>
      <c r="F5" t="s">
        <v>254</v>
      </c>
      <c r="G5" s="5" t="s">
        <v>131</v>
      </c>
      <c r="H5" s="5" t="s">
        <v>135</v>
      </c>
      <c r="I5" s="5" t="s">
        <v>131</v>
      </c>
      <c r="J5" t="s">
        <v>126</v>
      </c>
      <c r="K5" s="6" t="s">
        <v>136</v>
      </c>
      <c r="M5" s="5" t="s">
        <v>137</v>
      </c>
      <c r="N5" s="5"/>
    </row>
    <row r="6" spans="1:19" x14ac:dyDescent="0.2">
      <c r="A6" s="5" t="s">
        <v>1</v>
      </c>
      <c r="C6" s="5" t="s">
        <v>1</v>
      </c>
      <c r="G6" s="5" t="s">
        <v>138</v>
      </c>
      <c r="H6" s="5" t="s">
        <v>139</v>
      </c>
      <c r="I6" s="5" t="s">
        <v>138</v>
      </c>
      <c r="J6" t="s">
        <v>222</v>
      </c>
      <c r="K6" t="s">
        <v>140</v>
      </c>
      <c r="M6" s="5" t="s">
        <v>141</v>
      </c>
      <c r="N6" s="5"/>
    </row>
    <row r="7" spans="1:19" x14ac:dyDescent="0.2">
      <c r="A7" s="5" t="s">
        <v>142</v>
      </c>
      <c r="G7" s="5" t="s">
        <v>143</v>
      </c>
      <c r="H7" t="s">
        <v>144</v>
      </c>
      <c r="I7" s="5" t="s">
        <v>143</v>
      </c>
      <c r="J7" s="5" t="s">
        <v>1</v>
      </c>
      <c r="K7" t="s">
        <v>145</v>
      </c>
      <c r="M7" s="5" t="s">
        <v>146</v>
      </c>
    </row>
    <row r="8" spans="1:19" x14ac:dyDescent="0.2">
      <c r="A8" s="5" t="s">
        <v>147</v>
      </c>
      <c r="B8" s="5"/>
      <c r="G8" s="5" t="s">
        <v>148</v>
      </c>
      <c r="H8" s="5" t="s">
        <v>149</v>
      </c>
      <c r="I8" s="5" t="s">
        <v>148</v>
      </c>
      <c r="K8" t="s">
        <v>150</v>
      </c>
      <c r="M8" s="5" t="s">
        <v>151</v>
      </c>
    </row>
    <row r="9" spans="1:19" x14ac:dyDescent="0.2">
      <c r="A9" s="5" t="s">
        <v>152</v>
      </c>
      <c r="B9" s="5"/>
      <c r="G9" s="5" t="s">
        <v>153</v>
      </c>
      <c r="H9" s="5" t="s">
        <v>154</v>
      </c>
      <c r="I9" s="5" t="s">
        <v>153</v>
      </c>
      <c r="K9" t="s">
        <v>155</v>
      </c>
      <c r="M9" s="5" t="s">
        <v>156</v>
      </c>
    </row>
    <row r="10" spans="1:19" x14ac:dyDescent="0.2">
      <c r="A10" s="5" t="s">
        <v>157</v>
      </c>
      <c r="B10" s="5"/>
      <c r="D10" s="5"/>
      <c r="G10" s="5" t="s">
        <v>135</v>
      </c>
      <c r="H10" s="5" t="s">
        <v>1</v>
      </c>
      <c r="I10" s="5" t="s">
        <v>135</v>
      </c>
      <c r="K10" t="s">
        <v>158</v>
      </c>
      <c r="M10" s="5" t="s">
        <v>159</v>
      </c>
    </row>
    <row r="11" spans="1:19" x14ac:dyDescent="0.2">
      <c r="A11" s="5" t="s">
        <v>160</v>
      </c>
      <c r="B11" s="5"/>
      <c r="D11" s="5"/>
      <c r="G11" s="5" t="s">
        <v>126</v>
      </c>
      <c r="I11" s="5" t="s">
        <v>126</v>
      </c>
      <c r="K11" t="s">
        <v>161</v>
      </c>
    </row>
    <row r="12" spans="1:19" x14ac:dyDescent="0.2">
      <c r="G12" s="5" t="s">
        <v>139</v>
      </c>
      <c r="I12" t="s">
        <v>144</v>
      </c>
      <c r="K12" t="s">
        <v>162</v>
      </c>
    </row>
    <row r="13" spans="1:19" x14ac:dyDescent="0.2">
      <c r="A13" s="5" t="s">
        <v>163</v>
      </c>
      <c r="B13" s="5" t="s">
        <v>164</v>
      </c>
      <c r="C13" s="5" t="s">
        <v>165</v>
      </c>
      <c r="D13" s="5" t="s">
        <v>166</v>
      </c>
      <c r="G13" s="5" t="s">
        <v>144</v>
      </c>
      <c r="I13" t="s">
        <v>169</v>
      </c>
      <c r="K13" t="s">
        <v>24</v>
      </c>
    </row>
    <row r="14" spans="1:19" x14ac:dyDescent="0.2">
      <c r="A14" s="5" t="s">
        <v>167</v>
      </c>
      <c r="B14">
        <v>33.799999999999997</v>
      </c>
      <c r="C14" s="5" t="s">
        <v>168</v>
      </c>
      <c r="D14">
        <v>0.57499999999999996</v>
      </c>
      <c r="G14" s="5" t="s">
        <v>169</v>
      </c>
      <c r="I14" t="s">
        <v>173</v>
      </c>
      <c r="K14" t="s">
        <v>170</v>
      </c>
    </row>
    <row r="15" spans="1:19" x14ac:dyDescent="0.2">
      <c r="A15" s="5" t="s">
        <v>171</v>
      </c>
      <c r="B15">
        <v>46.6</v>
      </c>
      <c r="C15" s="5" t="s">
        <v>172</v>
      </c>
      <c r="D15">
        <v>0.625</v>
      </c>
      <c r="G15" s="5" t="s">
        <v>173</v>
      </c>
      <c r="I15" t="s">
        <v>175</v>
      </c>
    </row>
    <row r="16" spans="1:19" x14ac:dyDescent="0.2">
      <c r="A16" s="5" t="s">
        <v>174</v>
      </c>
      <c r="B16">
        <v>46.6</v>
      </c>
      <c r="C16" s="5" t="s">
        <v>172</v>
      </c>
      <c r="D16">
        <v>0.625</v>
      </c>
      <c r="G16" s="5" t="s">
        <v>175</v>
      </c>
      <c r="I16" t="s">
        <v>177</v>
      </c>
    </row>
    <row r="17" spans="1:15" x14ac:dyDescent="0.2">
      <c r="A17" s="5" t="s">
        <v>176</v>
      </c>
      <c r="B17">
        <v>46.6</v>
      </c>
      <c r="C17" s="5" t="s">
        <v>172</v>
      </c>
      <c r="D17">
        <v>0.625</v>
      </c>
      <c r="G17" s="5" t="s">
        <v>177</v>
      </c>
      <c r="I17" t="s">
        <v>179</v>
      </c>
    </row>
    <row r="18" spans="1:15" x14ac:dyDescent="0.2">
      <c r="A18" s="5" t="s">
        <v>178</v>
      </c>
      <c r="B18">
        <v>46.6</v>
      </c>
      <c r="C18" s="5" t="s">
        <v>172</v>
      </c>
      <c r="D18">
        <v>0.625</v>
      </c>
      <c r="G18" s="5" t="s">
        <v>179</v>
      </c>
      <c r="I18" t="s">
        <v>181</v>
      </c>
    </row>
    <row r="19" spans="1:15" x14ac:dyDescent="0.2">
      <c r="A19" s="5" t="s">
        <v>180</v>
      </c>
      <c r="B19">
        <v>31.7</v>
      </c>
      <c r="C19" s="5" t="s">
        <v>168</v>
      </c>
      <c r="D19">
        <v>0.57499999999999996</v>
      </c>
      <c r="G19" s="5" t="s">
        <v>181</v>
      </c>
      <c r="I19" t="s">
        <v>256</v>
      </c>
    </row>
    <row r="20" spans="1:15" x14ac:dyDescent="0.2">
      <c r="A20" s="5" t="s">
        <v>182</v>
      </c>
      <c r="B20">
        <v>31.7</v>
      </c>
      <c r="C20" s="5" t="s">
        <v>168</v>
      </c>
      <c r="D20">
        <v>0.57499999999999996</v>
      </c>
      <c r="G20" t="s">
        <v>183</v>
      </c>
      <c r="I20" s="5" t="s">
        <v>257</v>
      </c>
    </row>
    <row r="21" spans="1:15" x14ac:dyDescent="0.2">
      <c r="A21" s="5" t="s">
        <v>184</v>
      </c>
      <c r="B21">
        <v>5</v>
      </c>
      <c r="C21" s="5" t="s">
        <v>185</v>
      </c>
      <c r="D21">
        <v>0.65349999999999997</v>
      </c>
      <c r="G21" t="s">
        <v>186</v>
      </c>
      <c r="I21" t="s">
        <v>258</v>
      </c>
    </row>
    <row r="22" spans="1:15" x14ac:dyDescent="0.2">
      <c r="G22" t="s">
        <v>187</v>
      </c>
      <c r="I22" s="5" t="s">
        <v>259</v>
      </c>
    </row>
    <row r="23" spans="1:15" x14ac:dyDescent="0.2">
      <c r="A23" s="5" t="s">
        <v>188</v>
      </c>
      <c r="G23" t="s">
        <v>189</v>
      </c>
      <c r="I23" t="s">
        <v>222</v>
      </c>
    </row>
    <row r="24" spans="1:15" x14ac:dyDescent="0.2">
      <c r="A24" s="5" t="s">
        <v>190</v>
      </c>
      <c r="B24">
        <v>43.2</v>
      </c>
      <c r="C24" s="5" t="s">
        <v>191</v>
      </c>
      <c r="D24">
        <v>0.60499999999999998</v>
      </c>
      <c r="G24" t="s">
        <v>192</v>
      </c>
      <c r="I24" s="5" t="s">
        <v>1</v>
      </c>
    </row>
    <row r="25" spans="1:15" x14ac:dyDescent="0.2">
      <c r="A25" s="5" t="s">
        <v>193</v>
      </c>
      <c r="B25">
        <v>43.2</v>
      </c>
      <c r="C25" s="5" t="s">
        <v>191</v>
      </c>
      <c r="D25">
        <v>0.60499999999999998</v>
      </c>
      <c r="G25" t="s">
        <v>194</v>
      </c>
    </row>
    <row r="26" spans="1:15" x14ac:dyDescent="0.2">
      <c r="A26" s="5" t="s">
        <v>195</v>
      </c>
      <c r="B26">
        <v>43.2</v>
      </c>
      <c r="C26" s="5" t="s">
        <v>191</v>
      </c>
      <c r="D26">
        <v>0.60499999999999998</v>
      </c>
      <c r="G26" t="s">
        <v>196</v>
      </c>
    </row>
    <row r="27" spans="1:15" x14ac:dyDescent="0.2">
      <c r="A27" s="5" t="s">
        <v>197</v>
      </c>
      <c r="B27">
        <v>43.2</v>
      </c>
      <c r="C27" s="5" t="s">
        <v>191</v>
      </c>
      <c r="D27">
        <v>0.60499999999999998</v>
      </c>
      <c r="G27" t="s">
        <v>198</v>
      </c>
      <c r="I27" t="s">
        <v>199</v>
      </c>
      <c r="O27" s="5"/>
    </row>
    <row r="28" spans="1:15" x14ac:dyDescent="0.2">
      <c r="A28" s="5" t="s">
        <v>200</v>
      </c>
      <c r="B28">
        <v>37.799999999999997</v>
      </c>
      <c r="C28" s="5" t="s">
        <v>201</v>
      </c>
      <c r="D28">
        <v>0.60499999999999998</v>
      </c>
      <c r="G28" t="s">
        <v>202</v>
      </c>
      <c r="J28" t="s">
        <v>203</v>
      </c>
      <c r="K28" t="s">
        <v>204</v>
      </c>
      <c r="L28" t="s">
        <v>205</v>
      </c>
    </row>
    <row r="29" spans="1:15" x14ac:dyDescent="0.2">
      <c r="A29" s="5" t="s">
        <v>206</v>
      </c>
      <c r="B29">
        <v>37.799999999999997</v>
      </c>
      <c r="C29" s="5" t="s">
        <v>201</v>
      </c>
      <c r="D29">
        <v>0.60499999999999998</v>
      </c>
      <c r="G29" t="s">
        <v>207</v>
      </c>
      <c r="H29" t="s">
        <v>208</v>
      </c>
      <c r="I29">
        <v>0.60499999999999998</v>
      </c>
      <c r="J29" s="21">
        <f>K29/I29/L29</f>
        <v>12.396694214876034</v>
      </c>
      <c r="K29">
        <v>9000</v>
      </c>
      <c r="L29">
        <v>1200</v>
      </c>
    </row>
    <row r="30" spans="1:15" x14ac:dyDescent="0.2">
      <c r="A30" s="5" t="s">
        <v>209</v>
      </c>
      <c r="B30">
        <v>38.700000000000003</v>
      </c>
      <c r="C30" s="5" t="s">
        <v>191</v>
      </c>
      <c r="D30">
        <v>0.60499999999999998</v>
      </c>
      <c r="G30" s="47" t="s">
        <v>210</v>
      </c>
      <c r="H30" t="s">
        <v>208</v>
      </c>
      <c r="I30">
        <v>0.60499999999999998</v>
      </c>
      <c r="J30" s="21">
        <f>K30/I30/L30</f>
        <v>16.528925619834713</v>
      </c>
      <c r="K30">
        <v>3000</v>
      </c>
      <c r="L30">
        <v>300</v>
      </c>
    </row>
    <row r="31" spans="1:15" x14ac:dyDescent="0.2">
      <c r="A31" s="5" t="s">
        <v>211</v>
      </c>
      <c r="B31">
        <v>5</v>
      </c>
      <c r="C31" s="5" t="s">
        <v>185</v>
      </c>
      <c r="D31">
        <v>0.65349999999999997</v>
      </c>
      <c r="G31" s="48" t="s">
        <v>212</v>
      </c>
    </row>
    <row r="32" spans="1:15" x14ac:dyDescent="0.2">
      <c r="G32" s="47" t="s">
        <v>213</v>
      </c>
    </row>
    <row r="33" spans="1:7" x14ac:dyDescent="0.2">
      <c r="A33" s="5" t="s">
        <v>61</v>
      </c>
      <c r="G33" s="48" t="s">
        <v>214</v>
      </c>
    </row>
    <row r="34" spans="1:7" x14ac:dyDescent="0.2">
      <c r="A34" s="5" t="s">
        <v>215</v>
      </c>
      <c r="B34">
        <v>43.2</v>
      </c>
      <c r="C34" s="5" t="s">
        <v>191</v>
      </c>
      <c r="D34">
        <v>0.60499999999999998</v>
      </c>
      <c r="G34" t="s">
        <v>216</v>
      </c>
    </row>
    <row r="35" spans="1:7" x14ac:dyDescent="0.2">
      <c r="A35" s="5" t="s">
        <v>217</v>
      </c>
      <c r="B35">
        <v>37.799999999999997</v>
      </c>
      <c r="C35" s="5" t="s">
        <v>201</v>
      </c>
      <c r="D35">
        <v>0.60499999999999998</v>
      </c>
      <c r="G35" t="s">
        <v>218</v>
      </c>
    </row>
    <row r="36" spans="1:7" x14ac:dyDescent="0.2">
      <c r="A36" s="5" t="s">
        <v>219</v>
      </c>
      <c r="B36">
        <v>38.700000000000003</v>
      </c>
      <c r="C36" s="5" t="s">
        <v>191</v>
      </c>
      <c r="D36">
        <v>0.60499999999999998</v>
      </c>
      <c r="G36" t="s">
        <v>220</v>
      </c>
    </row>
    <row r="37" spans="1:7" x14ac:dyDescent="0.2">
      <c r="A37" s="5" t="s">
        <v>221</v>
      </c>
      <c r="B37">
        <v>5</v>
      </c>
      <c r="C37" s="5" t="s">
        <v>185</v>
      </c>
      <c r="D37">
        <v>0.65349999999999997</v>
      </c>
      <c r="G37" t="s">
        <v>256</v>
      </c>
    </row>
    <row r="38" spans="1:7" x14ac:dyDescent="0.2">
      <c r="G38" s="5" t="s">
        <v>257</v>
      </c>
    </row>
    <row r="39" spans="1:7" x14ac:dyDescent="0.2">
      <c r="A39" s="5" t="s">
        <v>223</v>
      </c>
      <c r="G39" t="s">
        <v>258</v>
      </c>
    </row>
    <row r="40" spans="1:7" x14ac:dyDescent="0.2">
      <c r="A40" s="5" t="s">
        <v>224</v>
      </c>
      <c r="B40">
        <v>33.799999999999997</v>
      </c>
      <c r="C40" s="5" t="s">
        <v>168</v>
      </c>
      <c r="D40">
        <v>0.57499999999999996</v>
      </c>
      <c r="G40" s="5" t="s">
        <v>259</v>
      </c>
    </row>
    <row r="41" spans="1:7" x14ac:dyDescent="0.2">
      <c r="A41" s="5" t="s">
        <v>225</v>
      </c>
      <c r="B41">
        <v>46.6</v>
      </c>
      <c r="C41" s="5" t="s">
        <v>172</v>
      </c>
      <c r="D41">
        <v>0.625</v>
      </c>
      <c r="G41" t="s">
        <v>222</v>
      </c>
    </row>
    <row r="42" spans="1:7" x14ac:dyDescent="0.2">
      <c r="A42" s="5" t="s">
        <v>226</v>
      </c>
      <c r="B42">
        <v>31.7</v>
      </c>
      <c r="C42" s="5" t="s">
        <v>168</v>
      </c>
      <c r="D42">
        <v>0.57499999999999996</v>
      </c>
      <c r="G42" t="s">
        <v>1</v>
      </c>
    </row>
    <row r="43" spans="1:7" x14ac:dyDescent="0.2">
      <c r="A43" s="5" t="s">
        <v>227</v>
      </c>
      <c r="B43">
        <v>5</v>
      </c>
      <c r="C43" s="5" t="s">
        <v>185</v>
      </c>
      <c r="D43">
        <v>0.65349999999999997</v>
      </c>
    </row>
    <row r="44" spans="1:7" x14ac:dyDescent="0.2">
      <c r="A44" s="5" t="s">
        <v>228</v>
      </c>
    </row>
    <row r="45" spans="1:7" x14ac:dyDescent="0.2">
      <c r="A45">
        <f>IF(OR(COUNTIF('Submission Form Entry'!$B$33:$B$43,A46),COUNTIF('Submission Form Entry'!$B$33:$B$43,A47),COUNTIF('Submission Form Entry'!$B$33:$B$43,A48),COUNTIF('Submission Form Entry'!$B$33:$B$43,A49),COUNTIF('Submission Form Entry'!$B$33:$B$43,A50),COUNTIF('Submission Form Entry'!$B$33:$B$43,A51),COUNTIF('Submission Form Entry'!$B$33:$B$43,A52),COUNTIF('Submission Form Entry'!$B$33:$B$43,A53),COUNTIF('Submission Form Entry'!$B$33:$B$43,A54),COUNTIF('Submission Form Entry'!$B$33:$B$43,A55),COUNTIF('Submission Form Entry'!$B$33:$B$43,A56),COUNTIF('Submission Form Entry'!$B$33:$B$43,A57),COUNTIF('Submission Form Entry'!$B$33:$B$43,A56),COUNTIF('Submission Form Entry'!$B$33:$B$43,A58))=TRUE,1,0)</f>
        <v>0</v>
      </c>
      <c r="B45">
        <f>IF(OR(COUNTIF('Submission Form Entry'!$B$33:$B$43,B46),COUNTIF('Submission Form Entry'!$B$33:$B$43,B47),COUNTIF('Submission Form Entry'!$B$33:$B$43,B48),COUNTIF('Submission Form Entry'!$B$33:$B$43,B49),COUNTIF('Submission Form Entry'!$B$33:$B$43,B50),COUNTIF('Submission Form Entry'!$B$33:$B$43,B51),COUNTIF('Submission Form Entry'!$B$33:$B$43,B52))=TRUE,3,0)</f>
        <v>0</v>
      </c>
      <c r="C45">
        <f>IF(OR(COUNTIF('Submission Form Entry'!$B$33:$B$43,C46),COUNTIF('Submission Form Entry'!$B$33:$B$43,C47),COUNTIF('Submission Form Entry'!$B$33:$B$43,C48),COUNTIF('Submission Form Entry'!$B$33:$B$43,C49))=TRUE,5,0)</f>
        <v>0</v>
      </c>
    </row>
    <row r="46" spans="1:7" x14ac:dyDescent="0.2">
      <c r="A46" s="5" t="s">
        <v>224</v>
      </c>
      <c r="B46" s="5" t="s">
        <v>180</v>
      </c>
      <c r="C46" t="s">
        <v>241</v>
      </c>
    </row>
    <row r="47" spans="1:7" x14ac:dyDescent="0.2">
      <c r="A47" s="5" t="s">
        <v>225</v>
      </c>
      <c r="B47" s="5" t="s">
        <v>182</v>
      </c>
      <c r="C47" s="5"/>
    </row>
    <row r="48" spans="1:7" x14ac:dyDescent="0.2">
      <c r="A48" s="5" t="s">
        <v>215</v>
      </c>
      <c r="B48" s="5" t="s">
        <v>200</v>
      </c>
      <c r="C48" s="5"/>
    </row>
    <row r="49" spans="1:3" x14ac:dyDescent="0.2">
      <c r="A49" s="5" t="s">
        <v>229</v>
      </c>
      <c r="B49" s="5" t="s">
        <v>206</v>
      </c>
      <c r="C49" s="5"/>
    </row>
    <row r="50" spans="1:3" x14ac:dyDescent="0.2">
      <c r="A50" s="5" t="s">
        <v>193</v>
      </c>
      <c r="B50" t="s">
        <v>209</v>
      </c>
    </row>
    <row r="51" spans="1:3" x14ac:dyDescent="0.2">
      <c r="A51" s="5" t="s">
        <v>195</v>
      </c>
      <c r="B51" s="5" t="s">
        <v>217</v>
      </c>
    </row>
    <row r="52" spans="1:3" x14ac:dyDescent="0.2">
      <c r="A52" s="5" t="s">
        <v>197</v>
      </c>
      <c r="B52" t="s">
        <v>226</v>
      </c>
    </row>
    <row r="53" spans="1:3" x14ac:dyDescent="0.2">
      <c r="A53" s="5" t="s">
        <v>167</v>
      </c>
    </row>
    <row r="54" spans="1:3" x14ac:dyDescent="0.2">
      <c r="A54" s="5" t="s">
        <v>171</v>
      </c>
    </row>
    <row r="55" spans="1:3" x14ac:dyDescent="0.2">
      <c r="A55" s="5" t="s">
        <v>174</v>
      </c>
    </row>
    <row r="56" spans="1:3" x14ac:dyDescent="0.2">
      <c r="A56" s="5" t="s">
        <v>176</v>
      </c>
    </row>
    <row r="57" spans="1:3" x14ac:dyDescent="0.2">
      <c r="A57" s="5" t="s">
        <v>178</v>
      </c>
    </row>
    <row r="58" spans="1:3" x14ac:dyDescent="0.2">
      <c r="A58" s="5" t="s">
        <v>240</v>
      </c>
    </row>
    <row r="59" spans="1:3" x14ac:dyDescent="0.2">
      <c r="A59">
        <v>1</v>
      </c>
      <c r="B59">
        <v>8</v>
      </c>
      <c r="C59">
        <v>5</v>
      </c>
    </row>
    <row r="60" spans="1:3" x14ac:dyDescent="0.2">
      <c r="A60">
        <v>4</v>
      </c>
      <c r="B60">
        <v>3</v>
      </c>
    </row>
    <row r="62" spans="1:3" x14ac:dyDescent="0.2">
      <c r="A62">
        <v>9</v>
      </c>
    </row>
    <row r="64" spans="1:3" ht="13.5" thickBot="1" x14ac:dyDescent="0.25"/>
    <row r="65" spans="1:5" s="110" customFormat="1" ht="13.5" thickTop="1" x14ac:dyDescent="0.2">
      <c r="A65" s="110" t="s">
        <v>239</v>
      </c>
      <c r="B65" s="110" t="s">
        <v>243</v>
      </c>
    </row>
    <row r="67" spans="1:5" x14ac:dyDescent="0.2">
      <c r="A67" s="5" t="s">
        <v>245</v>
      </c>
      <c r="B67" s="5" t="s">
        <v>164</v>
      </c>
      <c r="C67" s="5" t="s">
        <v>165</v>
      </c>
      <c r="D67" s="5" t="s">
        <v>166</v>
      </c>
    </row>
    <row r="68" spans="1:5" x14ac:dyDescent="0.2">
      <c r="A68" s="5" t="s">
        <v>190</v>
      </c>
      <c r="B68">
        <v>43.2</v>
      </c>
      <c r="C68" s="5" t="s">
        <v>242</v>
      </c>
      <c r="D68">
        <v>0.60499999999999998</v>
      </c>
      <c r="E68" s="5" t="s">
        <v>244</v>
      </c>
    </row>
    <row r="69" spans="1:5" x14ac:dyDescent="0.2">
      <c r="A69" s="5" t="s">
        <v>197</v>
      </c>
      <c r="B69">
        <v>43.2</v>
      </c>
      <c r="C69" s="5" t="s">
        <v>242</v>
      </c>
      <c r="D69">
        <v>0.60499999999999998</v>
      </c>
      <c r="E69" s="5" t="s">
        <v>244</v>
      </c>
    </row>
    <row r="70" spans="1:5" x14ac:dyDescent="0.2">
      <c r="A70" s="5" t="s">
        <v>240</v>
      </c>
      <c r="B70">
        <v>36.6</v>
      </c>
      <c r="C70" s="5" t="s">
        <v>250</v>
      </c>
      <c r="D70">
        <v>0.68899999999999995</v>
      </c>
      <c r="E70" s="5" t="s">
        <v>251</v>
      </c>
    </row>
    <row r="74" spans="1:5" x14ac:dyDescent="0.2">
      <c r="A74" s="5" t="s">
        <v>246</v>
      </c>
    </row>
    <row r="75" spans="1:5" x14ac:dyDescent="0.2">
      <c r="A75" s="5" t="s">
        <v>209</v>
      </c>
      <c r="B75">
        <v>38.700000000000003</v>
      </c>
      <c r="C75" s="5" t="s">
        <v>242</v>
      </c>
      <c r="D75">
        <v>0.60499999999999998</v>
      </c>
      <c r="E75" s="5" t="s">
        <v>244</v>
      </c>
    </row>
    <row r="76" spans="1:5" x14ac:dyDescent="0.2">
      <c r="A76" t="s">
        <v>241</v>
      </c>
      <c r="B76">
        <v>37.5</v>
      </c>
      <c r="C76" s="5" t="s">
        <v>250</v>
      </c>
      <c r="D76">
        <v>0.68899999999999995</v>
      </c>
      <c r="E76" s="5" t="s">
        <v>251</v>
      </c>
    </row>
  </sheetData>
  <dataConsolidate/>
  <dataValidations count="1">
    <dataValidation type="list" allowBlank="1" showInputMessage="1" showErrorMessage="1" sqref="E2:E3">
      <formula1>INDIRECT(D2)</formula1>
    </dataValidation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H3" workbookViewId="0"/>
  </sheetViews>
  <sheetFormatPr defaultColWidth="8.85546875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36bb568-112f-4365-825e-eccb018b54b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068981C54C104490023C102E55FA5E" ma:contentTypeVersion="13" ma:contentTypeDescription="Create a new document." ma:contentTypeScope="" ma:versionID="9d29a8ef2880fbc529fce13ef9207a67">
  <xsd:schema xmlns:xsd="http://www.w3.org/2001/XMLSchema" xmlns:xs="http://www.w3.org/2001/XMLSchema" xmlns:p="http://schemas.microsoft.com/office/2006/metadata/properties" xmlns:ns3="fd8ababe-5010-4e5b-866e-128fa1bea12e" xmlns:ns4="236bb568-112f-4365-825e-eccb018b54b4" targetNamespace="http://schemas.microsoft.com/office/2006/metadata/properties" ma:root="true" ma:fieldsID="3a12344b3451421b53cace71fff626e3" ns3:_="" ns4:_="">
    <xsd:import namespace="fd8ababe-5010-4e5b-866e-128fa1bea12e"/>
    <xsd:import namespace="236bb568-112f-4365-825e-eccb018b54b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babe-5010-4e5b-866e-128fa1bea1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bb568-112f-4365-825e-eccb018b5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BC27C8-16B4-4821-B263-C49DF83F011D}">
  <ds:schemaRefs>
    <ds:schemaRef ds:uri="http://schemas.openxmlformats.org/package/2006/metadata/core-properties"/>
    <ds:schemaRef ds:uri="236bb568-112f-4365-825e-eccb018b54b4"/>
    <ds:schemaRef ds:uri="http://purl.org/dc/terms/"/>
    <ds:schemaRef ds:uri="fd8ababe-5010-4e5b-866e-128fa1bea12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7B565A8-F835-4281-8556-3DEE2E6D9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860C70-7373-4DDC-95CF-959ED6201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babe-5010-4e5b-866e-128fa1bea12e"/>
    <ds:schemaRef ds:uri="236bb568-112f-4365-825e-eccb018b54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Submission Form Entry</vt:lpstr>
      <vt:lpstr>Antibody List</vt:lpstr>
      <vt:lpstr>Sheet1</vt:lpstr>
      <vt:lpstr>Lists_New</vt:lpstr>
      <vt:lpstr>Sheet2</vt:lpstr>
      <vt:lpstr>LIMS upload</vt:lpstr>
      <vt:lpstr>Lists</vt:lpstr>
      <vt:lpstr>Sheet4</vt:lpstr>
      <vt:lpstr>Sheet3</vt:lpstr>
      <vt:lpstr>apple</vt:lpstr>
      <vt:lpstr>banana</vt:lpstr>
      <vt:lpstr>ChemOptions3pr</vt:lpstr>
      <vt:lpstr>ChemOptions5pr</vt:lpstr>
      <vt:lpstr>CiteSeq3pr</vt:lpstr>
      <vt:lpstr>CiteSeq5pr</vt:lpstr>
      <vt:lpstr>GEM3pr2024</vt:lpstr>
      <vt:lpstr>GEM5pr2024</vt:lpstr>
      <vt:lpstr>HTCiteseqOptions</vt:lpstr>
      <vt:lpstr>New_Kits</vt:lpstr>
      <vt:lpstr>NextGEM</vt:lpstr>
      <vt:lpstr>Nucseq</vt:lpstr>
      <vt:lpstr>NucseqNextGEM</vt:lpstr>
      <vt:lpstr>Old_Kits</vt:lpstr>
      <vt:lpstr>Options3pr2024</vt:lpstr>
      <vt:lpstr>Options5pr2024</vt:lpstr>
      <vt:lpstr>Original_GEM</vt:lpstr>
      <vt:lpstr>Sample_Source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Nicholas Khuu</dc:creator>
  <cp:keywords/>
  <dc:description/>
  <cp:lastModifiedBy>Tanya Mohanta</cp:lastModifiedBy>
  <cp:revision/>
  <dcterms:created xsi:type="dcterms:W3CDTF">2016-06-20T18:01:10Z</dcterms:created>
  <dcterms:modified xsi:type="dcterms:W3CDTF">2024-09-04T16:55:14Z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0x0101001B068981C54C104490023C102E55FA5E</vt:lpwstr>
  </property>
</Properties>
</file>